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Vichi\Desktop\FNC_ORD_REG_Regolamento e Allegati_18_10_24\"/>
    </mc:Choice>
  </mc:AlternateContent>
  <xr:revisionPtr revIDLastSave="0" documentId="13_ncr:1_{D08EBFC0-B905-4B09-BEE8-191B1C1CCF24}" xr6:coauthVersionLast="47" xr6:coauthVersionMax="47" xr10:uidLastSave="{00000000-0000-0000-0000-000000000000}"/>
  <workbookProtection workbookAlgorithmName="SHA-512" workbookHashValue="QPsXzOK2uj1kHmr4sac0ylCa/v8thYYLXNXWJTgLGinAiefbGXq+mmiiQVPVA/NFW4EF1XygCoaTxJ/c9dB0hQ==" workbookSaltValue="HgrCrNBdnTvd8xHx+xp0sA==" workbookSpinCount="100000" lockStructure="1"/>
  <bookViews>
    <workbookView xWindow="-120" yWindow="-120" windowWidth="29040" windowHeight="15840" tabRatio="847" xr2:uid="{00000000-000D-0000-FFFF-FFFF00000000}"/>
  </bookViews>
  <sheets>
    <sheet name="FNC-ORD_prospetto riassuntivo" sheetId="15" r:id="rId1"/>
    <sheet name="FNC-ORD_contributo interessi" sheetId="20" r:id="rId2"/>
    <sheet name="FNC-ORD_ESL riassicurazione" sheetId="21" r:id="rId3"/>
    <sheet name="Frequenza rate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5" l="1"/>
  <c r="B19" i="15"/>
  <c r="A40" i="15"/>
  <c r="B14" i="15"/>
  <c r="A42" i="15" s="1"/>
  <c r="B32" i="15" l="1"/>
  <c r="B12" i="21"/>
  <c r="B11" i="21" l="1"/>
  <c r="B4" i="21" l="1"/>
  <c r="B9" i="21"/>
  <c r="B8" i="21"/>
  <c r="B16" i="21" s="1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B10" i="21" l="1"/>
  <c r="B14" i="21"/>
  <c r="E17" i="21" s="1"/>
  <c r="E42" i="21"/>
  <c r="E24" i="21"/>
  <c r="E32" i="21"/>
  <c r="E40" i="21"/>
  <c r="E25" i="21"/>
  <c r="E33" i="21"/>
  <c r="E37" i="21"/>
  <c r="E45" i="21"/>
  <c r="E26" i="21"/>
  <c r="E30" i="21"/>
  <c r="E34" i="21"/>
  <c r="E38" i="21"/>
  <c r="E28" i="21"/>
  <c r="E36" i="21"/>
  <c r="E44" i="21"/>
  <c r="E29" i="21"/>
  <c r="E41" i="21"/>
  <c r="E27" i="21"/>
  <c r="E31" i="21"/>
  <c r="E35" i="21"/>
  <c r="E39" i="21"/>
  <c r="E43" i="21"/>
  <c r="B49" i="21"/>
  <c r="C16" i="21"/>
  <c r="E16" i="21" l="1"/>
  <c r="E23" i="21"/>
  <c r="E22" i="21"/>
  <c r="E21" i="21"/>
  <c r="D16" i="21"/>
  <c r="B17" i="21" s="1"/>
  <c r="C17" i="21" s="1"/>
  <c r="D17" i="21" s="1"/>
  <c r="B18" i="21" s="1"/>
  <c r="E20" i="21"/>
  <c r="E19" i="21"/>
  <c r="E18" i="21"/>
  <c r="A41" i="15"/>
  <c r="B27" i="15"/>
  <c r="A20" i="15"/>
  <c r="A19" i="15"/>
  <c r="B50" i="21" l="1"/>
  <c r="B51" i="21"/>
  <c r="C18" i="21"/>
  <c r="D18" i="21" s="1"/>
  <c r="B19" i="21" s="1"/>
  <c r="C19" i="21" l="1"/>
  <c r="D19" i="21" s="1"/>
  <c r="B20" i="21" s="1"/>
  <c r="B52" i="21"/>
  <c r="B53" i="21" l="1"/>
  <c r="C20" i="21"/>
  <c r="D20" i="21" s="1"/>
  <c r="B21" i="21" s="1"/>
  <c r="B54" i="21" l="1"/>
  <c r="C21" i="21"/>
  <c r="D21" i="21" s="1"/>
  <c r="B22" i="21" s="1"/>
  <c r="B55" i="21" l="1"/>
  <c r="C22" i="21"/>
  <c r="D22" i="21" s="1"/>
  <c r="B23" i="21" s="1"/>
  <c r="C23" i="21" l="1"/>
  <c r="D23" i="21" s="1"/>
  <c r="B24" i="21" s="1"/>
  <c r="B56" i="21"/>
  <c r="B57" i="21" l="1"/>
  <c r="C24" i="21"/>
  <c r="D24" i="21" s="1"/>
  <c r="B25" i="21" s="1"/>
  <c r="B58" i="21" l="1"/>
  <c r="C25" i="21"/>
  <c r="D25" i="21" s="1"/>
  <c r="B26" i="21" s="1"/>
  <c r="B59" i="21" l="1"/>
  <c r="C26" i="21"/>
  <c r="D26" i="21" s="1"/>
  <c r="B27" i="21" s="1"/>
  <c r="C27" i="21" l="1"/>
  <c r="D27" i="21" s="1"/>
  <c r="B28" i="21" s="1"/>
  <c r="B60" i="21"/>
  <c r="B61" i="21" l="1"/>
  <c r="C28" i="21"/>
  <c r="D28" i="21" s="1"/>
  <c r="B29" i="21" s="1"/>
  <c r="B62" i="21" l="1"/>
  <c r="C29" i="21"/>
  <c r="D29" i="21" s="1"/>
  <c r="B30" i="21" s="1"/>
  <c r="B63" i="21" l="1"/>
  <c r="C30" i="21"/>
  <c r="D30" i="21" s="1"/>
  <c r="B31" i="21" s="1"/>
  <c r="C31" i="21" l="1"/>
  <c r="D31" i="21" s="1"/>
  <c r="B32" i="21" s="1"/>
  <c r="B64" i="21"/>
  <c r="B65" i="21" l="1"/>
  <c r="C32" i="21"/>
  <c r="D32" i="21" s="1"/>
  <c r="B33" i="21" s="1"/>
  <c r="B66" i="21" l="1"/>
  <c r="C33" i="21"/>
  <c r="D33" i="21" s="1"/>
  <c r="B34" i="21" s="1"/>
  <c r="B67" i="21" l="1"/>
  <c r="C34" i="21"/>
  <c r="D34" i="21" s="1"/>
  <c r="B35" i="21" s="1"/>
  <c r="C35" i="21" l="1"/>
  <c r="D35" i="21" s="1"/>
  <c r="B36" i="21" s="1"/>
  <c r="B68" i="21"/>
  <c r="B69" i="21" l="1"/>
  <c r="C36" i="21"/>
  <c r="D36" i="21" s="1"/>
  <c r="B37" i="21" s="1"/>
  <c r="B70" i="21" l="1"/>
  <c r="C37" i="21"/>
  <c r="D37" i="21" s="1"/>
  <c r="B38" i="21" s="1"/>
  <c r="B71" i="21" l="1"/>
  <c r="C38" i="21"/>
  <c r="D38" i="21" s="1"/>
  <c r="B39" i="21" s="1"/>
  <c r="C39" i="21" l="1"/>
  <c r="D39" i="21" s="1"/>
  <c r="B40" i="21" s="1"/>
  <c r="B72" i="21"/>
  <c r="B73" i="21" l="1"/>
  <c r="C40" i="21"/>
  <c r="D40" i="21" s="1"/>
  <c r="B41" i="21" s="1"/>
  <c r="B74" i="21" l="1"/>
  <c r="C41" i="21"/>
  <c r="D41" i="21" s="1"/>
  <c r="B42" i="21" s="1"/>
  <c r="B75" i="21" l="1"/>
  <c r="C42" i="21"/>
  <c r="D42" i="21" s="1"/>
  <c r="B43" i="21" s="1"/>
  <c r="C43" i="21" l="1"/>
  <c r="D43" i="21" s="1"/>
  <c r="B44" i="21" s="1"/>
  <c r="B76" i="21"/>
  <c r="B77" i="21" l="1"/>
  <c r="C44" i="21"/>
  <c r="D44" i="21" s="1"/>
  <c r="B45" i="21" s="1"/>
  <c r="B78" i="21" l="1"/>
  <c r="B82" i="21" s="1"/>
  <c r="B85" i="21" s="1"/>
  <c r="D1" i="21" s="1"/>
  <c r="B36" i="15" s="1"/>
  <c r="C45" i="21"/>
  <c r="D45" i="21" s="1"/>
  <c r="B46" i="21" s="1"/>
  <c r="B79" i="21" s="1"/>
  <c r="B28" i="15" l="1"/>
  <c r="B26" i="15"/>
  <c r="B23" i="15"/>
  <c r="A3" i="20" s="1"/>
  <c r="H3" i="20" l="1"/>
  <c r="B3" i="20" s="1"/>
  <c r="A4" i="20"/>
  <c r="M3" i="20"/>
  <c r="A5" i="20" l="1"/>
  <c r="H4" i="20"/>
  <c r="B4" i="20" s="1"/>
  <c r="G3" i="20"/>
  <c r="D3" i="20"/>
  <c r="D4" i="20" l="1"/>
  <c r="G4" i="20"/>
  <c r="H5" i="20"/>
  <c r="B5" i="20" s="1"/>
  <c r="A6" i="20"/>
  <c r="G5" i="20" l="1"/>
  <c r="D5" i="20"/>
  <c r="A7" i="20"/>
  <c r="H6" i="20"/>
  <c r="B6" i="20" s="1"/>
  <c r="D6" i="20" l="1"/>
  <c r="G6" i="20"/>
  <c r="H7" i="20"/>
  <c r="B7" i="20" s="1"/>
  <c r="A8" i="20"/>
  <c r="G7" i="20" l="1"/>
  <c r="D7" i="20"/>
  <c r="A9" i="20"/>
  <c r="H8" i="20"/>
  <c r="B8" i="20" s="1"/>
  <c r="D8" i="20" l="1"/>
  <c r="G8" i="20"/>
  <c r="H9" i="20"/>
  <c r="B9" i="20" s="1"/>
  <c r="A10" i="20"/>
  <c r="G9" i="20" l="1"/>
  <c r="D9" i="20"/>
  <c r="A11" i="20"/>
  <c r="H10" i="20"/>
  <c r="B10" i="20" s="1"/>
  <c r="D10" i="20" l="1"/>
  <c r="G10" i="20"/>
  <c r="H11" i="20"/>
  <c r="B11" i="20" s="1"/>
  <c r="A12" i="20"/>
  <c r="A13" i="20" l="1"/>
  <c r="H12" i="20"/>
  <c r="B12" i="20" s="1"/>
  <c r="G11" i="20"/>
  <c r="D11" i="20"/>
  <c r="D12" i="20" l="1"/>
  <c r="G12" i="20"/>
  <c r="H13" i="20"/>
  <c r="B13" i="20" s="1"/>
  <c r="A14" i="20"/>
  <c r="A15" i="20" l="1"/>
  <c r="H14" i="20"/>
  <c r="B14" i="20" s="1"/>
  <c r="G13" i="20"/>
  <c r="D13" i="20"/>
  <c r="D14" i="20" l="1"/>
  <c r="G14" i="20"/>
  <c r="H15" i="20"/>
  <c r="B15" i="20" s="1"/>
  <c r="A16" i="20"/>
  <c r="A17" i="20" l="1"/>
  <c r="H16" i="20"/>
  <c r="B16" i="20" s="1"/>
  <c r="G15" i="20"/>
  <c r="D15" i="20"/>
  <c r="D16" i="20" l="1"/>
  <c r="G16" i="20"/>
  <c r="H17" i="20"/>
  <c r="B17" i="20" s="1"/>
  <c r="A18" i="20"/>
  <c r="A19" i="20" l="1"/>
  <c r="H18" i="20"/>
  <c r="B18" i="20" s="1"/>
  <c r="G17" i="20"/>
  <c r="D17" i="20"/>
  <c r="D18" i="20" l="1"/>
  <c r="G18" i="20"/>
  <c r="H19" i="20"/>
  <c r="B19" i="20" s="1"/>
  <c r="A20" i="20"/>
  <c r="A21" i="20" l="1"/>
  <c r="H20" i="20"/>
  <c r="B20" i="20" s="1"/>
  <c r="G19" i="20"/>
  <c r="D19" i="20"/>
  <c r="D20" i="20" l="1"/>
  <c r="G20" i="20"/>
  <c r="H21" i="20"/>
  <c r="B21" i="20" s="1"/>
  <c r="A22" i="20"/>
  <c r="G21" i="20" l="1"/>
  <c r="D21" i="20"/>
  <c r="A23" i="20"/>
  <c r="H22" i="20"/>
  <c r="B22" i="20" s="1"/>
  <c r="D22" i="20" l="1"/>
  <c r="G22" i="20"/>
  <c r="H23" i="20"/>
  <c r="B23" i="20" s="1"/>
  <c r="A24" i="20"/>
  <c r="A25" i="20" l="1"/>
  <c r="H24" i="20"/>
  <c r="B24" i="20" s="1"/>
  <c r="G23" i="20"/>
  <c r="D23" i="20"/>
  <c r="D24" i="20" l="1"/>
  <c r="G24" i="20"/>
  <c r="H25" i="20"/>
  <c r="B25" i="20" s="1"/>
  <c r="A26" i="20"/>
  <c r="H26" i="20" l="1"/>
  <c r="B26" i="20" s="1"/>
  <c r="J3" i="20"/>
  <c r="G25" i="20"/>
  <c r="D25" i="20"/>
  <c r="Q3" i="20" l="1"/>
  <c r="K3" i="20" s="1"/>
  <c r="J4" i="20"/>
  <c r="D26" i="20"/>
  <c r="G26" i="20"/>
  <c r="J5" i="20" l="1"/>
  <c r="Q4" i="20"/>
  <c r="M4" i="20" s="1"/>
  <c r="P3" i="20"/>
  <c r="L3" i="20"/>
  <c r="N3" i="20" s="1"/>
  <c r="O3" i="20" s="1"/>
  <c r="K4" i="20" l="1"/>
  <c r="P4" i="20" s="1"/>
  <c r="Q5" i="20"/>
  <c r="M5" i="20" s="1"/>
  <c r="J6" i="20"/>
  <c r="L4" i="20" l="1"/>
  <c r="N4" i="20" s="1"/>
  <c r="O4" i="20" s="1"/>
  <c r="K5" i="20" s="1"/>
  <c r="P5" i="20" s="1"/>
  <c r="J7" i="20"/>
  <c r="Q6" i="20"/>
  <c r="M6" i="20" s="1"/>
  <c r="L5" i="20" l="1"/>
  <c r="N5" i="20" s="1"/>
  <c r="O5" i="20" s="1"/>
  <c r="K6" i="20" s="1"/>
  <c r="P6" i="20" s="1"/>
  <c r="Q7" i="20"/>
  <c r="M7" i="20" s="1"/>
  <c r="J8" i="20"/>
  <c r="L6" i="20" l="1"/>
  <c r="N6" i="20" s="1"/>
  <c r="O6" i="20" s="1"/>
  <c r="K7" i="20" s="1"/>
  <c r="P7" i="20" s="1"/>
  <c r="J9" i="20"/>
  <c r="Q8" i="20"/>
  <c r="M8" i="20" s="1"/>
  <c r="L7" i="20" l="1"/>
  <c r="N7" i="20" s="1"/>
  <c r="O7" i="20" s="1"/>
  <c r="K8" i="20" s="1"/>
  <c r="P8" i="20" s="1"/>
  <c r="Q9" i="20"/>
  <c r="M9" i="20" s="1"/>
  <c r="J10" i="20"/>
  <c r="L8" i="20" l="1"/>
  <c r="N8" i="20" s="1"/>
  <c r="O8" i="20" s="1"/>
  <c r="K9" i="20" s="1"/>
  <c r="Q10" i="20"/>
  <c r="M10" i="20" s="1"/>
  <c r="J11" i="20"/>
  <c r="P9" i="20" l="1"/>
  <c r="L9" i="20"/>
  <c r="N9" i="20" s="1"/>
  <c r="O9" i="20" s="1"/>
  <c r="K10" i="20" s="1"/>
  <c r="P10" i="20" s="1"/>
  <c r="Q11" i="20"/>
  <c r="M11" i="20" s="1"/>
  <c r="J12" i="20"/>
  <c r="L10" i="20" l="1"/>
  <c r="N10" i="20" s="1"/>
  <c r="O10" i="20" s="1"/>
  <c r="K11" i="20" s="1"/>
  <c r="J13" i="20"/>
  <c r="Q12" i="20"/>
  <c r="M12" i="20" s="1"/>
  <c r="P11" i="20" l="1"/>
  <c r="L11" i="20"/>
  <c r="N11" i="20" s="1"/>
  <c r="O11" i="20" s="1"/>
  <c r="K12" i="20" s="1"/>
  <c r="P12" i="20" s="1"/>
  <c r="Q13" i="20"/>
  <c r="M13" i="20" s="1"/>
  <c r="J14" i="20"/>
  <c r="L12" i="20" l="1"/>
  <c r="N12" i="20" s="1"/>
  <c r="O12" i="20" s="1"/>
  <c r="K13" i="20" s="1"/>
  <c r="P13" i="20" s="1"/>
  <c r="Q14" i="20"/>
  <c r="M14" i="20" s="1"/>
  <c r="J15" i="20"/>
  <c r="L13" i="20" l="1"/>
  <c r="N13" i="20" s="1"/>
  <c r="O13" i="20" s="1"/>
  <c r="K14" i="20" s="1"/>
  <c r="P14" i="20" s="1"/>
  <c r="Q15" i="20"/>
  <c r="M15" i="20" s="1"/>
  <c r="J16" i="20"/>
  <c r="L14" i="20" l="1"/>
  <c r="N14" i="20" s="1"/>
  <c r="O14" i="20" s="1"/>
  <c r="K15" i="20" s="1"/>
  <c r="J17" i="20"/>
  <c r="Q16" i="20"/>
  <c r="M16" i="20" s="1"/>
  <c r="P15" i="20" l="1"/>
  <c r="L15" i="20"/>
  <c r="N15" i="20" s="1"/>
  <c r="O15" i="20" s="1"/>
  <c r="K16" i="20" s="1"/>
  <c r="Q17" i="20"/>
  <c r="M17" i="20" s="1"/>
  <c r="J18" i="20"/>
  <c r="P16" i="20" l="1"/>
  <c r="L16" i="20"/>
  <c r="N16" i="20" s="1"/>
  <c r="O16" i="20" s="1"/>
  <c r="K17" i="20" s="1"/>
  <c r="Q18" i="20"/>
  <c r="M18" i="20" s="1"/>
  <c r="J19" i="20"/>
  <c r="P17" i="20" l="1"/>
  <c r="L17" i="20"/>
  <c r="N17" i="20" s="1"/>
  <c r="O17" i="20" s="1"/>
  <c r="K18" i="20" s="1"/>
  <c r="Q19" i="20"/>
  <c r="M19" i="20" s="1"/>
  <c r="J20" i="20"/>
  <c r="P18" i="20" l="1"/>
  <c r="L18" i="20"/>
  <c r="N18" i="20" s="1"/>
  <c r="O18" i="20" s="1"/>
  <c r="K19" i="20" s="1"/>
  <c r="J21" i="20"/>
  <c r="Q20" i="20"/>
  <c r="M20" i="20" s="1"/>
  <c r="P19" i="20" l="1"/>
  <c r="L19" i="20"/>
  <c r="N19" i="20" s="1"/>
  <c r="O19" i="20" s="1"/>
  <c r="K20" i="20" s="1"/>
  <c r="P20" i="20" s="1"/>
  <c r="Q21" i="20"/>
  <c r="M21" i="20" s="1"/>
  <c r="J22" i="20"/>
  <c r="L20" i="20" l="1"/>
  <c r="N20" i="20" s="1"/>
  <c r="O20" i="20" s="1"/>
  <c r="K21" i="20" s="1"/>
  <c r="P21" i="20" s="1"/>
  <c r="Q22" i="20"/>
  <c r="M22" i="20" s="1"/>
  <c r="J23" i="20"/>
  <c r="L21" i="20" l="1"/>
  <c r="N21" i="20" s="1"/>
  <c r="O21" i="20" s="1"/>
  <c r="K22" i="20" s="1"/>
  <c r="P22" i="20" s="1"/>
  <c r="Q23" i="20"/>
  <c r="M23" i="20" s="1"/>
  <c r="J24" i="20"/>
  <c r="L22" i="20" l="1"/>
  <c r="N22" i="20" s="1"/>
  <c r="O22" i="20" s="1"/>
  <c r="K23" i="20" s="1"/>
  <c r="J25" i="20"/>
  <c r="Q24" i="20"/>
  <c r="M24" i="20" s="1"/>
  <c r="P23" i="20" l="1"/>
  <c r="L23" i="20"/>
  <c r="N23" i="20" s="1"/>
  <c r="O23" i="20" s="1"/>
  <c r="K24" i="20" s="1"/>
  <c r="P24" i="20" s="1"/>
  <c r="Q25" i="20"/>
  <c r="M25" i="20" s="1"/>
  <c r="J26" i="20"/>
  <c r="L24" i="20" l="1"/>
  <c r="N24" i="20" s="1"/>
  <c r="O24" i="20" s="1"/>
  <c r="K25" i="20" s="1"/>
  <c r="P25" i="20" s="1"/>
  <c r="J27" i="20"/>
  <c r="Q26" i="20"/>
  <c r="M26" i="20" s="1"/>
  <c r="L25" i="20" l="1"/>
  <c r="N25" i="20" s="1"/>
  <c r="O25" i="20" s="1"/>
  <c r="K26" i="20" s="1"/>
  <c r="J28" i="20"/>
  <c r="Q27" i="20"/>
  <c r="M27" i="20" s="1"/>
  <c r="P26" i="20" l="1"/>
  <c r="L26" i="20"/>
  <c r="N26" i="20" s="1"/>
  <c r="O26" i="20" s="1"/>
  <c r="K27" i="20" s="1"/>
  <c r="J29" i="20"/>
  <c r="Q28" i="20"/>
  <c r="M28" i="20" s="1"/>
  <c r="P27" i="20" l="1"/>
  <c r="L27" i="20"/>
  <c r="N27" i="20" s="1"/>
  <c r="O27" i="20" s="1"/>
  <c r="K28" i="20" s="1"/>
  <c r="J30" i="20"/>
  <c r="Q29" i="20"/>
  <c r="M29" i="20" s="1"/>
  <c r="P28" i="20" l="1"/>
  <c r="L28" i="20"/>
  <c r="N28" i="20" s="1"/>
  <c r="O28" i="20" s="1"/>
  <c r="K29" i="20" s="1"/>
  <c r="P29" i="20" s="1"/>
  <c r="J31" i="20"/>
  <c r="Q30" i="20"/>
  <c r="M30" i="20" s="1"/>
  <c r="L29" i="20" l="1"/>
  <c r="N29" i="20" s="1"/>
  <c r="O29" i="20" s="1"/>
  <c r="K30" i="20" s="1"/>
  <c r="P30" i="20" s="1"/>
  <c r="J32" i="20"/>
  <c r="Q31" i="20"/>
  <c r="M31" i="20" s="1"/>
  <c r="J33" i="20" l="1"/>
  <c r="Q32" i="20"/>
  <c r="M32" i="20" s="1"/>
  <c r="L30" i="20"/>
  <c r="N30" i="20" s="1"/>
  <c r="O30" i="20" s="1"/>
  <c r="K31" i="20" s="1"/>
  <c r="P31" i="20" s="1"/>
  <c r="J34" i="20" l="1"/>
  <c r="Q33" i="20"/>
  <c r="M33" i="20" s="1"/>
  <c r="L31" i="20"/>
  <c r="N31" i="20" s="1"/>
  <c r="O31" i="20" s="1"/>
  <c r="K32" i="20" s="1"/>
  <c r="P32" i="20" s="1"/>
  <c r="J35" i="20" l="1"/>
  <c r="Q34" i="20"/>
  <c r="M34" i="20" s="1"/>
  <c r="L32" i="20"/>
  <c r="N32" i="20" s="1"/>
  <c r="O32" i="20" s="1"/>
  <c r="K33" i="20" s="1"/>
  <c r="P33" i="20" s="1"/>
  <c r="J36" i="20" l="1"/>
  <c r="Q35" i="20"/>
  <c r="M35" i="20" s="1"/>
  <c r="L33" i="20"/>
  <c r="N33" i="20" s="1"/>
  <c r="O33" i="20" s="1"/>
  <c r="K34" i="20" s="1"/>
  <c r="P34" i="20" s="1"/>
  <c r="J37" i="20" l="1"/>
  <c r="Q36" i="20"/>
  <c r="M36" i="20" s="1"/>
  <c r="L34" i="20"/>
  <c r="N34" i="20" s="1"/>
  <c r="O34" i="20" s="1"/>
  <c r="K35" i="20" s="1"/>
  <c r="P35" i="20" s="1"/>
  <c r="J38" i="20" l="1"/>
  <c r="Q37" i="20"/>
  <c r="M37" i="20" s="1"/>
  <c r="L35" i="20"/>
  <c r="N35" i="20" s="1"/>
  <c r="O35" i="20" s="1"/>
  <c r="K36" i="20" s="1"/>
  <c r="P36" i="20" s="1"/>
  <c r="J39" i="20" l="1"/>
  <c r="Q38" i="20"/>
  <c r="M38" i="20" s="1"/>
  <c r="L36" i="20"/>
  <c r="N36" i="20" s="1"/>
  <c r="O36" i="20" s="1"/>
  <c r="K37" i="20" s="1"/>
  <c r="P37" i="20" s="1"/>
  <c r="J40" i="20" l="1"/>
  <c r="Q39" i="20"/>
  <c r="M39" i="20" s="1"/>
  <c r="L37" i="20"/>
  <c r="N37" i="20" s="1"/>
  <c r="O37" i="20" s="1"/>
  <c r="K38" i="20" s="1"/>
  <c r="P38" i="20" s="1"/>
  <c r="J41" i="20" l="1"/>
  <c r="Q40" i="20"/>
  <c r="M40" i="20" s="1"/>
  <c r="L38" i="20"/>
  <c r="N38" i="20" s="1"/>
  <c r="O38" i="20" s="1"/>
  <c r="K39" i="20" s="1"/>
  <c r="P39" i="20" s="1"/>
  <c r="J42" i="20" l="1"/>
  <c r="Q41" i="20"/>
  <c r="M41" i="20" s="1"/>
  <c r="L39" i="20"/>
  <c r="N39" i="20" s="1"/>
  <c r="O39" i="20" s="1"/>
  <c r="K40" i="20" s="1"/>
  <c r="P40" i="20" s="1"/>
  <c r="J43" i="20" l="1"/>
  <c r="Q42" i="20"/>
  <c r="M42" i="20" s="1"/>
  <c r="L40" i="20"/>
  <c r="N40" i="20" s="1"/>
  <c r="O40" i="20" s="1"/>
  <c r="K41" i="20" s="1"/>
  <c r="P41" i="20" s="1"/>
  <c r="J44" i="20" l="1"/>
  <c r="Q43" i="20"/>
  <c r="M43" i="20" s="1"/>
  <c r="L41" i="20"/>
  <c r="N41" i="20" s="1"/>
  <c r="O41" i="20" s="1"/>
  <c r="K42" i="20" s="1"/>
  <c r="P42" i="20" s="1"/>
  <c r="J45" i="20" l="1"/>
  <c r="Q44" i="20"/>
  <c r="M44" i="20" s="1"/>
  <c r="L42" i="20"/>
  <c r="N42" i="20" s="1"/>
  <c r="O42" i="20" s="1"/>
  <c r="K43" i="20" s="1"/>
  <c r="P43" i="20" s="1"/>
  <c r="J46" i="20" l="1"/>
  <c r="Q45" i="20"/>
  <c r="M45" i="20" s="1"/>
  <c r="L43" i="20"/>
  <c r="N43" i="20" s="1"/>
  <c r="O43" i="20" s="1"/>
  <c r="K44" i="20" s="1"/>
  <c r="P44" i="20" s="1"/>
  <c r="J47" i="20" l="1"/>
  <c r="Q46" i="20"/>
  <c r="M46" i="20" s="1"/>
  <c r="L44" i="20"/>
  <c r="N44" i="20" s="1"/>
  <c r="O44" i="20" s="1"/>
  <c r="K45" i="20" s="1"/>
  <c r="P45" i="20" s="1"/>
  <c r="J48" i="20" l="1"/>
  <c r="Q47" i="20"/>
  <c r="M47" i="20" s="1"/>
  <c r="L45" i="20"/>
  <c r="N45" i="20" s="1"/>
  <c r="O45" i="20" s="1"/>
  <c r="K46" i="20" s="1"/>
  <c r="P46" i="20" s="1"/>
  <c r="J49" i="20" l="1"/>
  <c r="Q48" i="20"/>
  <c r="M48" i="20" s="1"/>
  <c r="L46" i="20"/>
  <c r="N46" i="20" s="1"/>
  <c r="O46" i="20" s="1"/>
  <c r="K47" i="20" s="1"/>
  <c r="P47" i="20" s="1"/>
  <c r="L47" i="20" l="1"/>
  <c r="N47" i="20" s="1"/>
  <c r="O47" i="20" s="1"/>
  <c r="K48" i="20" s="1"/>
  <c r="P48" i="20" s="1"/>
  <c r="J50" i="20"/>
  <c r="Q49" i="20"/>
  <c r="M49" i="20" s="1"/>
  <c r="J51" i="20" l="1"/>
  <c r="Q50" i="20"/>
  <c r="M50" i="20" s="1"/>
  <c r="L48" i="20"/>
  <c r="N48" i="20" s="1"/>
  <c r="O48" i="20" s="1"/>
  <c r="K49" i="20" s="1"/>
  <c r="P49" i="20" s="1"/>
  <c r="J52" i="20" l="1"/>
  <c r="Q51" i="20"/>
  <c r="M51" i="20" s="1"/>
  <c r="L49" i="20"/>
  <c r="N49" i="20" s="1"/>
  <c r="O49" i="20" s="1"/>
  <c r="K50" i="20" s="1"/>
  <c r="P50" i="20" s="1"/>
  <c r="J53" i="20" l="1"/>
  <c r="Q52" i="20"/>
  <c r="M52" i="20" s="1"/>
  <c r="L50" i="20"/>
  <c r="N50" i="20" s="1"/>
  <c r="O50" i="20" s="1"/>
  <c r="K51" i="20" s="1"/>
  <c r="P51" i="20" s="1"/>
  <c r="J54" i="20" l="1"/>
  <c r="Q53" i="20"/>
  <c r="M53" i="20" s="1"/>
  <c r="L51" i="20"/>
  <c r="N51" i="20" s="1"/>
  <c r="O51" i="20" s="1"/>
  <c r="K52" i="20" s="1"/>
  <c r="P52" i="20" s="1"/>
  <c r="J55" i="20" l="1"/>
  <c r="Q54" i="20"/>
  <c r="M54" i="20" s="1"/>
  <c r="L52" i="20"/>
  <c r="N52" i="20" s="1"/>
  <c r="O52" i="20" s="1"/>
  <c r="K53" i="20" s="1"/>
  <c r="P53" i="20" s="1"/>
  <c r="J56" i="20" l="1"/>
  <c r="Q55" i="20"/>
  <c r="M55" i="20" s="1"/>
  <c r="L53" i="20"/>
  <c r="N53" i="20" s="1"/>
  <c r="O53" i="20" s="1"/>
  <c r="K54" i="20" s="1"/>
  <c r="P54" i="20" s="1"/>
  <c r="Q56" i="20" l="1"/>
  <c r="M56" i="20" s="1"/>
  <c r="J57" i="20"/>
  <c r="L54" i="20"/>
  <c r="N54" i="20" s="1"/>
  <c r="O54" i="20" s="1"/>
  <c r="K55" i="20" s="1"/>
  <c r="P55" i="20" s="1"/>
  <c r="L55" i="20" l="1"/>
  <c r="N55" i="20" s="1"/>
  <c r="O55" i="20" s="1"/>
  <c r="K56" i="20" s="1"/>
  <c r="P56" i="20" s="1"/>
  <c r="Q57" i="20"/>
  <c r="M57" i="20" s="1"/>
  <c r="J58" i="20"/>
  <c r="L56" i="20" l="1"/>
  <c r="N56" i="20" s="1"/>
  <c r="O56" i="20" s="1"/>
  <c r="K57" i="20" s="1"/>
  <c r="P57" i="20" s="1"/>
  <c r="Q58" i="20"/>
  <c r="M58" i="20" s="1"/>
  <c r="J59" i="20"/>
  <c r="L57" i="20" l="1"/>
  <c r="N57" i="20" s="1"/>
  <c r="O57" i="20" s="1"/>
  <c r="K58" i="20" s="1"/>
  <c r="P58" i="20" s="1"/>
  <c r="Q59" i="20"/>
  <c r="M59" i="20" s="1"/>
  <c r="J60" i="20"/>
  <c r="L58" i="20" l="1"/>
  <c r="N58" i="20" s="1"/>
  <c r="O58" i="20" s="1"/>
  <c r="K59" i="20" s="1"/>
  <c r="P59" i="20" s="1"/>
  <c r="Q60" i="20"/>
  <c r="M60" i="20" s="1"/>
  <c r="J61" i="20"/>
  <c r="L59" i="20" l="1"/>
  <c r="N59" i="20" s="1"/>
  <c r="O59" i="20" s="1"/>
  <c r="K60" i="20" s="1"/>
  <c r="P60" i="20" s="1"/>
  <c r="Q61" i="20"/>
  <c r="M61" i="20" s="1"/>
  <c r="J62" i="20"/>
  <c r="Q62" i="20" l="1"/>
  <c r="M62" i="20" s="1"/>
  <c r="J63" i="20"/>
  <c r="L60" i="20"/>
  <c r="N60" i="20" s="1"/>
  <c r="O60" i="20" s="1"/>
  <c r="K61" i="20" s="1"/>
  <c r="P61" i="20" s="1"/>
  <c r="L61" i="20" l="1"/>
  <c r="N61" i="20" s="1"/>
  <c r="O61" i="20" s="1"/>
  <c r="K62" i="20" s="1"/>
  <c r="P62" i="20" s="1"/>
  <c r="Q63" i="20"/>
  <c r="M63" i="20" s="1"/>
  <c r="J64" i="20"/>
  <c r="L62" i="20" l="1"/>
  <c r="N62" i="20" s="1"/>
  <c r="O62" i="20" s="1"/>
  <c r="K63" i="20" s="1"/>
  <c r="P63" i="20" s="1"/>
  <c r="Q64" i="20"/>
  <c r="M64" i="20" s="1"/>
  <c r="J65" i="20"/>
  <c r="L63" i="20" l="1"/>
  <c r="N63" i="20" s="1"/>
  <c r="O63" i="20" s="1"/>
  <c r="K64" i="20" s="1"/>
  <c r="P64" i="20" s="1"/>
  <c r="Q65" i="20"/>
  <c r="M65" i="20" s="1"/>
  <c r="J66" i="20"/>
  <c r="Q66" i="20" l="1"/>
  <c r="M66" i="20" s="1"/>
  <c r="J67" i="20"/>
  <c r="L64" i="20"/>
  <c r="N64" i="20" s="1"/>
  <c r="O64" i="20" s="1"/>
  <c r="K65" i="20" s="1"/>
  <c r="P65" i="20" s="1"/>
  <c r="L65" i="20" l="1"/>
  <c r="N65" i="20" s="1"/>
  <c r="O65" i="20" s="1"/>
  <c r="K66" i="20" s="1"/>
  <c r="P66" i="20" s="1"/>
  <c r="Q67" i="20"/>
  <c r="M67" i="20" s="1"/>
  <c r="J68" i="20"/>
  <c r="L66" i="20" l="1"/>
  <c r="N66" i="20" s="1"/>
  <c r="O66" i="20" s="1"/>
  <c r="K67" i="20" s="1"/>
  <c r="P67" i="20" s="1"/>
  <c r="Q68" i="20"/>
  <c r="M68" i="20" s="1"/>
  <c r="J69" i="20"/>
  <c r="L67" i="20" l="1"/>
  <c r="N67" i="20" s="1"/>
  <c r="O67" i="20" s="1"/>
  <c r="K68" i="20" s="1"/>
  <c r="P68" i="20" s="1"/>
  <c r="Q69" i="20"/>
  <c r="M69" i="20" s="1"/>
  <c r="J70" i="20"/>
  <c r="Q70" i="20" l="1"/>
  <c r="M70" i="20" s="1"/>
  <c r="J71" i="20"/>
  <c r="L68" i="20"/>
  <c r="N68" i="20" s="1"/>
  <c r="O68" i="20" s="1"/>
  <c r="K69" i="20" s="1"/>
  <c r="P69" i="20" s="1"/>
  <c r="L69" i="20" l="1"/>
  <c r="N69" i="20" s="1"/>
  <c r="O69" i="20" s="1"/>
  <c r="K70" i="20" s="1"/>
  <c r="P70" i="20" s="1"/>
  <c r="Q71" i="20"/>
  <c r="M71" i="20" s="1"/>
  <c r="J72" i="20"/>
  <c r="L70" i="20" l="1"/>
  <c r="N70" i="20" s="1"/>
  <c r="O70" i="20" s="1"/>
  <c r="K71" i="20" s="1"/>
  <c r="P71" i="20" s="1"/>
  <c r="Q72" i="20"/>
  <c r="M72" i="20" s="1"/>
  <c r="J73" i="20"/>
  <c r="L71" i="20" l="1"/>
  <c r="N71" i="20" s="1"/>
  <c r="O71" i="20" s="1"/>
  <c r="K72" i="20" s="1"/>
  <c r="P72" i="20" s="1"/>
  <c r="Q73" i="20"/>
  <c r="M73" i="20" s="1"/>
  <c r="J74" i="20"/>
  <c r="Q74" i="20" l="1"/>
  <c r="M74" i="20" s="1"/>
  <c r="J75" i="20"/>
  <c r="L72" i="20"/>
  <c r="N72" i="20" s="1"/>
  <c r="O72" i="20" s="1"/>
  <c r="K73" i="20" s="1"/>
  <c r="P73" i="20" s="1"/>
  <c r="L73" i="20" l="1"/>
  <c r="N73" i="20" s="1"/>
  <c r="O73" i="20" s="1"/>
  <c r="K74" i="20" s="1"/>
  <c r="P74" i="20" s="1"/>
  <c r="Q75" i="20"/>
  <c r="M75" i="20" s="1"/>
  <c r="J76" i="20"/>
  <c r="L74" i="20" l="1"/>
  <c r="N74" i="20" s="1"/>
  <c r="O74" i="20" s="1"/>
  <c r="K75" i="20" s="1"/>
  <c r="P75" i="20" s="1"/>
  <c r="Q76" i="20"/>
  <c r="M76" i="20" s="1"/>
  <c r="J77" i="20"/>
  <c r="L75" i="20" l="1"/>
  <c r="N75" i="20" s="1"/>
  <c r="O75" i="20" s="1"/>
  <c r="K76" i="20" s="1"/>
  <c r="P76" i="20" s="1"/>
  <c r="Q77" i="20"/>
  <c r="M77" i="20" s="1"/>
  <c r="J78" i="20"/>
  <c r="Q78" i="20" l="1"/>
  <c r="M78" i="20" s="1"/>
  <c r="J79" i="20"/>
  <c r="L76" i="20"/>
  <c r="N76" i="20" s="1"/>
  <c r="O76" i="20" s="1"/>
  <c r="K77" i="20" s="1"/>
  <c r="P77" i="20" s="1"/>
  <c r="Q79" i="20" l="1"/>
  <c r="M79" i="20" s="1"/>
  <c r="J80" i="20"/>
  <c r="L77" i="20"/>
  <c r="N77" i="20" s="1"/>
  <c r="O77" i="20" s="1"/>
  <c r="K78" i="20" s="1"/>
  <c r="P78" i="20" s="1"/>
  <c r="L78" i="20" l="1"/>
  <c r="N78" i="20" s="1"/>
  <c r="O78" i="20" s="1"/>
  <c r="K79" i="20" s="1"/>
  <c r="P79" i="20" s="1"/>
  <c r="Q80" i="20"/>
  <c r="M80" i="20" s="1"/>
  <c r="J81" i="20"/>
  <c r="L79" i="20" l="1"/>
  <c r="N79" i="20" s="1"/>
  <c r="O79" i="20" s="1"/>
  <c r="K80" i="20" s="1"/>
  <c r="P80" i="20" s="1"/>
  <c r="Q81" i="20"/>
  <c r="M81" i="20" s="1"/>
  <c r="J82" i="20"/>
  <c r="L80" i="20" l="1"/>
  <c r="N80" i="20" s="1"/>
  <c r="O80" i="20" s="1"/>
  <c r="K81" i="20" s="1"/>
  <c r="P81" i="20" s="1"/>
  <c r="Q82" i="20"/>
  <c r="M82" i="20" s="1"/>
  <c r="J83" i="20"/>
  <c r="Q83" i="20" l="1"/>
  <c r="M83" i="20" s="1"/>
  <c r="J84" i="20"/>
  <c r="L81" i="20"/>
  <c r="N81" i="20" s="1"/>
  <c r="O81" i="20" s="1"/>
  <c r="K82" i="20" s="1"/>
  <c r="P82" i="20" s="1"/>
  <c r="L82" i="20" l="1"/>
  <c r="N82" i="20" s="1"/>
  <c r="O82" i="20" s="1"/>
  <c r="K83" i="20" s="1"/>
  <c r="P83" i="20" s="1"/>
  <c r="Q84" i="20"/>
  <c r="M84" i="20" s="1"/>
  <c r="J85" i="20"/>
  <c r="L83" i="20" l="1"/>
  <c r="N83" i="20" s="1"/>
  <c r="O83" i="20" s="1"/>
  <c r="K84" i="20" s="1"/>
  <c r="P84" i="20" s="1"/>
  <c r="Q85" i="20"/>
  <c r="M85" i="20" s="1"/>
  <c r="J86" i="20"/>
  <c r="Q86" i="20" l="1"/>
  <c r="M86" i="20" s="1"/>
  <c r="J87" i="20"/>
  <c r="L84" i="20"/>
  <c r="N84" i="20" s="1"/>
  <c r="O84" i="20" s="1"/>
  <c r="K85" i="20" s="1"/>
  <c r="P85" i="20" s="1"/>
  <c r="Q87" i="20" l="1"/>
  <c r="M87" i="20" s="1"/>
  <c r="J88" i="20"/>
  <c r="L85" i="20"/>
  <c r="N85" i="20" s="1"/>
  <c r="O85" i="20" s="1"/>
  <c r="K86" i="20" s="1"/>
  <c r="P86" i="20" s="1"/>
  <c r="L86" i="20" l="1"/>
  <c r="N86" i="20" s="1"/>
  <c r="O86" i="20" s="1"/>
  <c r="K87" i="20" s="1"/>
  <c r="P87" i="20" s="1"/>
  <c r="Q88" i="20"/>
  <c r="M88" i="20" s="1"/>
  <c r="J89" i="20"/>
  <c r="L87" i="20" l="1"/>
  <c r="N87" i="20" s="1"/>
  <c r="O87" i="20" s="1"/>
  <c r="K88" i="20" s="1"/>
  <c r="P88" i="20" s="1"/>
  <c r="Q89" i="20"/>
  <c r="M89" i="20" s="1"/>
  <c r="J90" i="20"/>
  <c r="Q90" i="20" l="1"/>
  <c r="M90" i="20" s="1"/>
  <c r="J91" i="20"/>
  <c r="L88" i="20"/>
  <c r="N88" i="20" s="1"/>
  <c r="O88" i="20" s="1"/>
  <c r="K89" i="20" s="1"/>
  <c r="P89" i="20" s="1"/>
  <c r="L89" i="20" l="1"/>
  <c r="N89" i="20" s="1"/>
  <c r="O89" i="20" s="1"/>
  <c r="K90" i="20" s="1"/>
  <c r="P90" i="20" s="1"/>
  <c r="Q91" i="20"/>
  <c r="M91" i="20" s="1"/>
  <c r="J92" i="20"/>
  <c r="L90" i="20" l="1"/>
  <c r="N90" i="20" s="1"/>
  <c r="O90" i="20" s="1"/>
  <c r="K91" i="20" s="1"/>
  <c r="P91" i="20" s="1"/>
  <c r="Q92" i="20"/>
  <c r="M92" i="20" s="1"/>
  <c r="J93" i="20"/>
  <c r="Q93" i="20" l="1"/>
  <c r="M93" i="20" s="1"/>
  <c r="J94" i="20"/>
  <c r="L91" i="20"/>
  <c r="N91" i="20" s="1"/>
  <c r="O91" i="20" s="1"/>
  <c r="K92" i="20" s="1"/>
  <c r="P92" i="20" s="1"/>
  <c r="L92" i="20" l="1"/>
  <c r="N92" i="20" s="1"/>
  <c r="O92" i="20" s="1"/>
  <c r="K93" i="20" s="1"/>
  <c r="P93" i="20" s="1"/>
  <c r="Q94" i="20"/>
  <c r="M94" i="20" s="1"/>
  <c r="J95" i="20"/>
  <c r="L93" i="20" l="1"/>
  <c r="N93" i="20" s="1"/>
  <c r="O93" i="20" s="1"/>
  <c r="K94" i="20" s="1"/>
  <c r="P94" i="20" s="1"/>
  <c r="Q95" i="20"/>
  <c r="M95" i="20" s="1"/>
  <c r="J96" i="20"/>
  <c r="L94" i="20" l="1"/>
  <c r="N94" i="20" s="1"/>
  <c r="O94" i="20" s="1"/>
  <c r="K95" i="20" s="1"/>
  <c r="P95" i="20" s="1"/>
  <c r="Q96" i="20"/>
  <c r="M96" i="20" s="1"/>
  <c r="J97" i="20"/>
  <c r="L95" i="20" l="1"/>
  <c r="N95" i="20" s="1"/>
  <c r="O95" i="20" s="1"/>
  <c r="K96" i="20" s="1"/>
  <c r="P96" i="20" s="1"/>
  <c r="Q97" i="20"/>
  <c r="M97" i="20" s="1"/>
  <c r="J98" i="20"/>
  <c r="Q98" i="20" s="1"/>
  <c r="M98" i="20" s="1"/>
  <c r="L96" i="20" l="1"/>
  <c r="N96" i="20" s="1"/>
  <c r="O96" i="20" s="1"/>
  <c r="K97" i="20" s="1"/>
  <c r="P97" i="20" s="1"/>
  <c r="L97" i="20" l="1"/>
  <c r="N97" i="20" s="1"/>
  <c r="O97" i="20" s="1"/>
  <c r="K98" i="20" s="1"/>
  <c r="P98" i="20" l="1"/>
  <c r="L98" i="20"/>
  <c r="N98" i="20" s="1"/>
  <c r="O98" i="20" s="1"/>
  <c r="B33" i="15" l="1"/>
  <c r="B34" i="15" s="1"/>
  <c r="B37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  <author>Giorgio Tangherlini</author>
  </authors>
  <commentList>
    <comment ref="B21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4" authorId="0" shapeId="0" xr:uid="{B4E901A6-8853-4D6D-ADDF-E5B12E383A2F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</t>
        </r>
      </text>
    </comment>
    <comment ref="B35" authorId="1" shapeId="0" xr:uid="{3BF489EB-1895-4517-A926-B5C15CAAC4B1}">
      <text>
        <r>
          <rPr>
            <sz val="9"/>
            <color indexed="81"/>
            <rFont val="Tahoma"/>
            <family val="2"/>
          </rPr>
          <t>Sulla base delle disposizioni operative del FCG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2" authorId="0" shapeId="0" xr:uid="{E1A524B3-B777-48F9-9AAC-F4D11893263D}">
      <text>
        <r>
          <rPr>
            <sz val="8"/>
            <color indexed="8"/>
            <rFont val="Tahoma"/>
            <family val="2"/>
          </rPr>
          <t>Commissione Unione Europea</t>
        </r>
      </text>
    </comment>
  </commentList>
</comments>
</file>

<file path=xl/sharedStrings.xml><?xml version="1.0" encoding="utf-8"?>
<sst xmlns="http://schemas.openxmlformats.org/spreadsheetml/2006/main" count="67" uniqueCount="58">
  <si>
    <t>DETERMINAZIONE DELL'INTENSITA' DI AIUTO</t>
  </si>
  <si>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</si>
  <si>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</si>
  <si>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</si>
  <si>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</si>
  <si>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</si>
  <si>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</si>
  <si>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</si>
  <si>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</si>
  <si>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</si>
  <si>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</si>
  <si>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</si>
  <si>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</si>
  <si>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</si>
  <si>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Frequenza</t>
  </si>
  <si>
    <t>Tasso di interesse periodale - periodo di ammortamento</t>
  </si>
  <si>
    <t>Tasso di interesse periodale - periodo di preammortamento</t>
  </si>
  <si>
    <t>Contributo quota interessi</t>
  </si>
  <si>
    <t>Importo Finanziamento</t>
  </si>
  <si>
    <t>Tasso di Riferimento Europeo (anno/mese di concessione)</t>
  </si>
  <si>
    <t>NO</t>
  </si>
  <si>
    <t>Premialità TAN</t>
  </si>
  <si>
    <t>TAN Prestito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</si>
  <si>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</si>
  <si>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</si>
  <si>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</si>
  <si>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</si>
  <si>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ESL</t>
  </si>
  <si>
    <t>Totale Sovvenzione</t>
  </si>
  <si>
    <t>ESL riassicurazione FNC-ORD</t>
  </si>
  <si>
    <t>DE MINIMIS</t>
  </si>
  <si>
    <t>Fr fattore di rischio</t>
  </si>
  <si>
    <t>C costi amministr.</t>
  </si>
  <si>
    <t>R remunerazione capitale</t>
  </si>
  <si>
    <t>G% premio una tantum effettivo</t>
  </si>
  <si>
    <t>D (prestito)</t>
  </si>
  <si>
    <t>Z (% garantita dal Fondo)</t>
  </si>
  <si>
    <t>importo garantito (D*Z)</t>
  </si>
  <si>
    <t>t durata (in anni arrotondata per eccesso)</t>
  </si>
  <si>
    <t>i tasso di riferimento</t>
  </si>
  <si>
    <t>rata costante D al tasso i</t>
  </si>
  <si>
    <t>anni</t>
  </si>
  <si>
    <t>Dt debito residuo</t>
  </si>
  <si>
    <t xml:space="preserve">interessi </t>
  </si>
  <si>
    <t>quota capitale</t>
  </si>
  <si>
    <t xml:space="preserve">rata costante </t>
  </si>
  <si>
    <r>
      <rPr>
        <b/>
        <sz val="10"/>
        <rFont val="Arial"/>
        <family val="2"/>
      </rPr>
      <t>It = Dt Z (F</t>
    </r>
    <r>
      <rPr>
        <b/>
        <vertAlign val="sub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+ C + R)</t>
    </r>
  </si>
  <si>
    <r>
      <rPr>
        <b/>
        <sz val="12"/>
        <rFont val="Symbol"/>
        <family val="1"/>
        <charset val="2"/>
      </rPr>
      <t>S</t>
    </r>
    <r>
      <rPr>
        <b/>
        <sz val="12"/>
        <rFont val="Times New Roman"/>
        <family val="1"/>
      </rPr>
      <t xml:space="preserve"> I</t>
    </r>
    <r>
      <rPr>
        <b/>
        <vertAlign val="subscript"/>
        <sz val="12"/>
        <rFont val="Times New Roman"/>
        <family val="1"/>
      </rPr>
      <t xml:space="preserve">t </t>
    </r>
    <r>
      <rPr>
        <b/>
        <sz val="12"/>
        <rFont val="Times New Roman"/>
        <family val="1"/>
      </rPr>
      <t>attualizzati</t>
    </r>
  </si>
  <si>
    <t>G (valore)</t>
  </si>
  <si>
    <t xml:space="preserve">ESL valore </t>
  </si>
  <si>
    <t>Fattore di rischio per calcolo ESL riassicurazione</t>
  </si>
  <si>
    <t>Valorizzare i campi in rosso</t>
  </si>
  <si>
    <t>Totale oneri Confidi (ad esclusione di azioni/quote/pegni/cauzioni)</t>
  </si>
  <si>
    <t>Altri oneri Confidi applicabili (ad eccezione della commissione di garanzia)</t>
  </si>
  <si>
    <t>Presenza FCG</t>
  </si>
  <si>
    <t>Percentuale garanzia I grado con FNC-ORD</t>
  </si>
  <si>
    <t>Percentuale garanzia I grado (totale)</t>
  </si>
  <si>
    <t>Percentuale garanzia I grado con FCG (se presente)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</si>
</sst>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&quot;€&quot;\ #,##0.00"/>
    <numFmt numFmtId="167" formatCode="_-* #,##0_-;\-* #,##0_-;_-* &quot;-&quot;??_-;_-@_-"/>
    <numFmt numFmtId="168" formatCode="&quot;€ &quot;#,##0.00;&quot;-€ &quot;#,##0.00"/>
    <numFmt numFmtId="169" formatCode="0.0000%"/>
    <numFmt numFmtId="170" formatCode="0.000%"/>
    <numFmt numFmtId="171" formatCode="_-* #,##0.00_-;\-* #,##0.00_-;_-* \-??_-;_-@_-"/>
    <numFmt numFmtId="172" formatCode="&quot;€ &quot;#,##0.00;[Red]&quot;-€ &quot;#,##0.00"/>
    <numFmt numFmtId="173" formatCode="dd/mm/yy"/>
  </numFmts>
  <fonts count="24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sz val="9"/>
      <color indexed="81"/>
      <name val="Tahoma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0.5"/>
      <color rgb="FFFF0000"/>
      <name val="Calibri Light"/>
      <family val="1"/>
      <scheme val="major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10"/>
      <color indexed="56"/>
      <name val="Arial"/>
      <family val="2"/>
    </font>
    <font>
      <sz val="16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2"/>
      <name val="Symbol"/>
      <family val="1"/>
      <charset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8"/>
      <color indexed="8"/>
      <name val="Tahoma"/>
      <family val="2"/>
    </font>
    <font>
      <u/>
      <sz val="10.5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3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8" fontId="0" fillId="0" borderId="0" xfId="0" applyNumberFormat="1"/>
    <xf numFmtId="164" fontId="0" fillId="0" borderId="0" xfId="0" applyNumberFormat="1"/>
    <xf numFmtId="3" fontId="7" fillId="0" borderId="1" xfId="0" applyNumberFormat="1" applyFont="1" applyBorder="1" applyAlignment="1" applyProtection="1">
      <alignment horizontal="left" vertical="center" wrapText="1"/>
      <protection hidden="1"/>
    </xf>
    <xf numFmtId="3" fontId="3" fillId="0" borderId="1" xfId="0" applyNumberFormat="1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3" fontId="3" fillId="0" borderId="1" xfId="0" applyNumberFormat="1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3" fontId="3" fillId="0" borderId="7" xfId="0" applyNumberFormat="1" applyFont="1" applyBorder="1" applyAlignment="1" applyProtection="1">
      <alignment horizontal="left" vertical="center" wrapText="1"/>
      <protection hidden="1"/>
    </xf>
    <xf numFmtId="3" fontId="3" fillId="0" borderId="6" xfId="0" applyNumberFormat="1" applyFont="1" applyBorder="1" applyAlignment="1" applyProtection="1">
      <alignment horizontal="left" vertical="center" wrapText="1"/>
      <protection hidden="1"/>
    </xf>
    <xf numFmtId="3" fontId="3" fillId="0" borderId="7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3" fontId="3" fillId="0" borderId="6" xfId="0" applyNumberFormat="1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3" fontId="7" fillId="0" borderId="8" xfId="0" applyNumberFormat="1" applyFont="1" applyBorder="1" applyAlignment="1" applyProtection="1">
      <alignment horizontal="left" vertical="center"/>
      <protection hidden="1"/>
    </xf>
    <xf numFmtId="43" fontId="4" fillId="0" borderId="1" xfId="2" applyFont="1" applyFill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10" fontId="8" fillId="0" borderId="7" xfId="3" applyNumberFormat="1" applyFont="1" applyFill="1" applyBorder="1" applyAlignment="1" applyProtection="1">
      <alignment vertical="center"/>
      <protection locked="0"/>
    </xf>
    <xf numFmtId="43" fontId="0" fillId="0" borderId="0" xfId="2" applyFont="1"/>
    <xf numFmtId="3" fontId="7" fillId="0" borderId="6" xfId="0" applyNumberFormat="1" applyFont="1" applyBorder="1" applyAlignment="1" applyProtection="1">
      <alignment horizontal="left" vertical="center" wrapText="1"/>
      <protection hidden="1"/>
    </xf>
    <xf numFmtId="43" fontId="4" fillId="0" borderId="6" xfId="2" applyFont="1" applyFill="1" applyBorder="1" applyAlignment="1" applyProtection="1">
      <alignment vertical="center"/>
      <protection locked="0"/>
    </xf>
    <xf numFmtId="9" fontId="4" fillId="0" borderId="6" xfId="3" applyFont="1" applyFill="1" applyBorder="1" applyAlignment="1" applyProtection="1">
      <alignment vertical="center"/>
      <protection locked="0"/>
    </xf>
    <xf numFmtId="1" fontId="4" fillId="0" borderId="6" xfId="2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/>
      <protection hidden="1"/>
    </xf>
    <xf numFmtId="10" fontId="3" fillId="0" borderId="6" xfId="3" applyNumberFormat="1" applyFont="1" applyFill="1" applyBorder="1" applyAlignment="1" applyProtection="1">
      <alignment vertical="center"/>
    </xf>
    <xf numFmtId="0" fontId="3" fillId="0" borderId="6" xfId="0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0" fontId="3" fillId="0" borderId="6" xfId="0" applyNumberFormat="1" applyFont="1" applyBorder="1" applyAlignment="1">
      <alignment vertical="center"/>
    </xf>
    <xf numFmtId="10" fontId="7" fillId="0" borderId="8" xfId="3" applyNumberFormat="1" applyFont="1" applyFill="1" applyBorder="1" applyAlignment="1" applyProtection="1">
      <alignment horizontal="right" vertical="center"/>
    </xf>
    <xf numFmtId="3" fontId="7" fillId="0" borderId="9" xfId="0" applyNumberFormat="1" applyFont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/>
      <protection hidden="1"/>
    </xf>
    <xf numFmtId="43" fontId="3" fillId="3" borderId="1" xfId="2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 wrapText="1"/>
      <protection hidden="1"/>
    </xf>
    <xf numFmtId="0" fontId="10" fillId="0" borderId="0" xfId="0" applyFont="1" applyAlignment="1">
      <alignment wrapText="1"/>
    </xf>
    <xf numFmtId="0" fontId="1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hidden="1"/>
    </xf>
    <xf numFmtId="169" fontId="0" fillId="0" borderId="0" xfId="3" applyNumberFormat="1" applyFont="1" applyFill="1" applyBorder="1" applyAlignment="1" applyProtection="1">
      <protection hidden="1"/>
    </xf>
    <xf numFmtId="10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172" fontId="14" fillId="0" borderId="0" xfId="2" applyNumberFormat="1" applyFont="1" applyFill="1" applyBorder="1" applyAlignment="1" applyProtection="1">
      <protection hidden="1"/>
    </xf>
    <xf numFmtId="171" fontId="14" fillId="0" borderId="0" xfId="0" applyNumberFormat="1" applyFont="1" applyProtection="1">
      <protection hidden="1"/>
    </xf>
    <xf numFmtId="172" fontId="14" fillId="0" borderId="0" xfId="0" applyNumberFormat="1" applyFont="1" applyAlignment="1" applyProtection="1">
      <alignment horizontal="right"/>
      <protection hidden="1"/>
    </xf>
    <xf numFmtId="172" fontId="14" fillId="0" borderId="0" xfId="0" applyNumberFormat="1" applyFont="1" applyProtection="1">
      <protection hidden="1"/>
    </xf>
    <xf numFmtId="171" fontId="0" fillId="0" borderId="0" xfId="2" applyNumberFormat="1" applyFont="1" applyFill="1" applyBorder="1" applyAlignment="1" applyProtection="1">
      <protection hidden="1"/>
    </xf>
    <xf numFmtId="172" fontId="0" fillId="0" borderId="0" xfId="0" applyNumberFormat="1" applyProtection="1">
      <protection hidden="1"/>
    </xf>
    <xf numFmtId="172" fontId="0" fillId="0" borderId="0" xfId="2" applyNumberFormat="1" applyFont="1" applyFill="1" applyBorder="1" applyAlignment="1" applyProtection="1">
      <protection hidden="1"/>
    </xf>
    <xf numFmtId="173" fontId="0" fillId="0" borderId="0" xfId="0" applyNumberFormat="1" applyProtection="1">
      <protection hidden="1"/>
    </xf>
    <xf numFmtId="43" fontId="0" fillId="0" borderId="0" xfId="2" applyFont="1" applyFill="1" applyBorder="1" applyAlignme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71" fontId="0" fillId="0" borderId="11" xfId="0" applyNumberFormat="1" applyBorder="1" applyProtection="1">
      <protection hidden="1"/>
    </xf>
    <xf numFmtId="0" fontId="16" fillId="7" borderId="0" xfId="0" applyFont="1" applyFill="1" applyAlignment="1" applyProtection="1">
      <alignment horizontal="right"/>
      <protection hidden="1"/>
    </xf>
    <xf numFmtId="171" fontId="16" fillId="7" borderId="0" xfId="0" applyNumberFormat="1" applyFont="1" applyFill="1" applyProtection="1">
      <protection hidden="1"/>
    </xf>
    <xf numFmtId="168" fontId="13" fillId="7" borderId="10" xfId="0" applyNumberFormat="1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horizontal="left" vertical="center"/>
      <protection hidden="1"/>
    </xf>
    <xf numFmtId="43" fontId="7" fillId="3" borderId="1" xfId="2" applyFont="1" applyFill="1" applyBorder="1" applyAlignment="1" applyProtection="1">
      <alignment horizontal="right" vertical="center"/>
    </xf>
    <xf numFmtId="3" fontId="6" fillId="4" borderId="9" xfId="0" applyNumberFormat="1" applyFont="1" applyFill="1" applyBorder="1" applyAlignment="1" applyProtection="1">
      <alignment horizontal="left" vertical="center"/>
      <protection hidden="1"/>
    </xf>
    <xf numFmtId="43" fontId="6" fillId="4" borderId="9" xfId="2" applyFont="1" applyFill="1" applyBorder="1" applyAlignment="1" applyProtection="1">
      <alignment horizontal="right" vertical="center"/>
    </xf>
    <xf numFmtId="3" fontId="6" fillId="6" borderId="5" xfId="0" applyNumberFormat="1" applyFont="1" applyFill="1" applyBorder="1" applyAlignment="1" applyProtection="1">
      <alignment horizontal="left" vertical="center"/>
      <protection hidden="1"/>
    </xf>
    <xf numFmtId="43" fontId="6" fillId="6" borderId="5" xfId="2" applyFont="1" applyFill="1" applyBorder="1" applyAlignment="1" applyProtection="1">
      <alignment horizontal="right" vertical="center"/>
    </xf>
    <xf numFmtId="3" fontId="7" fillId="0" borderId="7" xfId="0" applyNumberFormat="1" applyFont="1" applyBorder="1" applyAlignment="1" applyProtection="1">
      <alignment horizontal="left" vertical="center"/>
      <protection hidden="1"/>
    </xf>
    <xf numFmtId="3" fontId="6" fillId="5" borderId="8" xfId="0" applyNumberFormat="1" applyFont="1" applyFill="1" applyBorder="1" applyAlignment="1" applyProtection="1">
      <alignment horizontal="left" vertical="center"/>
      <protection hidden="1"/>
    </xf>
    <xf numFmtId="43" fontId="6" fillId="5" borderId="8" xfId="2" applyFont="1" applyFill="1" applyBorder="1" applyAlignment="1" applyProtection="1">
      <alignment horizontal="right" vertical="center"/>
    </xf>
    <xf numFmtId="0" fontId="23" fillId="0" borderId="0" xfId="0" applyFont="1" applyAlignment="1" applyProtection="1">
      <alignment vertical="center" wrapText="1"/>
      <protection hidden="1"/>
    </xf>
    <xf numFmtId="10" fontId="17" fillId="0" borderId="0" xfId="0" applyNumberFormat="1" applyFont="1"/>
    <xf numFmtId="170" fontId="17" fillId="0" borderId="0" xfId="0" applyNumberFormat="1" applyFont="1"/>
    <xf numFmtId="43" fontId="17" fillId="0" borderId="0" xfId="2" applyFont="1" applyFill="1" applyBorder="1" applyAlignment="1" applyProtection="1"/>
    <xf numFmtId="1" fontId="17" fillId="0" borderId="0" xfId="0" applyNumberFormat="1" applyFont="1"/>
    <xf numFmtId="10" fontId="17" fillId="0" borderId="0" xfId="3" applyNumberFormat="1" applyFont="1" applyProtection="1"/>
    <xf numFmtId="10" fontId="0" fillId="0" borderId="0" xfId="0" applyNumberFormat="1"/>
    <xf numFmtId="171" fontId="0" fillId="0" borderId="0" xfId="0" applyNumberFormat="1"/>
    <xf numFmtId="3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43" fontId="8" fillId="0" borderId="9" xfId="2" applyFont="1" applyFill="1" applyBorder="1" applyAlignment="1" applyProtection="1">
      <alignment horizontal="right" vertical="center"/>
      <protection locked="0"/>
    </xf>
    <xf numFmtId="10" fontId="8" fillId="0" borderId="7" xfId="3" applyNumberFormat="1" applyFont="1" applyFill="1" applyBorder="1" applyAlignment="1" applyProtection="1">
      <alignment horizontal="right" vertical="center"/>
      <protection locked="0"/>
    </xf>
    <xf numFmtId="9" fontId="3" fillId="0" borderId="6" xfId="3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58483</xdr:rowOff>
    </xdr:from>
    <xdr:to>
      <xdr:col>0</xdr:col>
      <xdr:colOff>1317027</xdr:colOff>
      <xdr:row>46</xdr:row>
      <xdr:rowOff>17986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9565"/>
          <a:ext cx="1313217" cy="652251"/>
        </a:xfrm>
        <a:prstGeom prst="rect">
          <a:avLst/>
        </a:prstGeom>
      </xdr:spPr>
    </xdr:pic>
    <xdr:clientData/>
  </xdr:twoCellAnchor>
  <xdr:twoCellAnchor editAs="oneCell">
    <xdr:from>
      <xdr:col>0</xdr:col>
      <xdr:colOff>3104029</xdr:colOff>
      <xdr:row>0</xdr:row>
      <xdr:rowOff>78441</xdr:rowOff>
    </xdr:from>
    <xdr:to>
      <xdr:col>2</xdr:col>
      <xdr:colOff>254335</xdr:colOff>
      <xdr:row>6</xdr:row>
      <xdr:rowOff>134060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75149" t="90113"/>
        <a:stretch/>
      </xdr:blipFill>
      <xdr:spPr bwMode="auto">
        <a:xfrm>
          <a:off x="3104029" y="78441"/>
          <a:ext cx="1823159" cy="106414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8:L42"/>
  <sheetViews>
    <sheetView tabSelected="1" zoomScale="85" zoomScaleNormal="85" workbookViewId="0">
      <selection activeCell="G10" sqref="G10"/>
    </sheetView>
  </sheetViews>
  <sheetFormatPr defaultRowHeight="13.5" x14ac:dyDescent="0.25"/>
  <cols>
    <col min="1" max="1" width="58.85546875" bestFit="1" customWidth="1"/>
    <col min="2" max="2" width="11.28515625" customWidth="1"/>
    <col min="3" max="3" width="12.28515625" bestFit="1" customWidth="1"/>
    <col min="4" max="4" width="14.28515625" bestFit="1" customWidth="1"/>
    <col min="5" max="5" width="12" bestFit="1" customWidth="1"/>
    <col min="6" max="6" width="12.7109375" bestFit="1" customWidth="1"/>
    <col min="7" max="7" width="42.5703125" bestFit="1" customWidth="1"/>
    <col min="8" max="8" width="2.140625" bestFit="1" customWidth="1"/>
    <col min="10" max="10" width="10.7109375" bestFit="1" customWidth="1"/>
    <col min="11" max="11" width="12.7109375" bestFit="1" customWidth="1"/>
    <col min="12" max="12" width="12.28515625" bestFit="1" customWidth="1"/>
    <col min="13" max="13" width="14.28515625" bestFit="1" customWidth="1"/>
    <col min="14" max="14" width="14" customWidth="1"/>
    <col min="15" max="15" width="13.7109375" customWidth="1"/>
    <col min="16" max="16" width="42.5703125" bestFit="1" customWidth="1"/>
    <col min="17" max="17" width="2.140625" bestFit="1" customWidth="1"/>
  </cols>
  <sheetData>
    <row r="8" spans="1:11" ht="14.25" x14ac:dyDescent="0.25">
      <c r="A8" s="37" t="s">
        <v>0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4.25" x14ac:dyDescent="0.25">
      <c r="A9" s="74" t="s">
        <v>51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14.2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5" t="s">
        <v>18</v>
      </c>
      <c r="B11" s="17">
        <v>150000</v>
      </c>
      <c r="C11" s="2"/>
      <c r="D11" s="2"/>
      <c r="E11" s="4"/>
    </row>
    <row r="12" spans="1:11" x14ac:dyDescent="0.25">
      <c r="A12" s="23" t="s">
        <v>55</v>
      </c>
      <c r="B12" s="25">
        <v>0.6</v>
      </c>
      <c r="C12" s="2"/>
      <c r="D12" s="2"/>
      <c r="E12" s="4"/>
    </row>
    <row r="13" spans="1:11" x14ac:dyDescent="0.25">
      <c r="A13" s="23" t="s">
        <v>57</v>
      </c>
      <c r="B13" s="25">
        <v>0</v>
      </c>
      <c r="C13" s="2"/>
      <c r="D13" s="2"/>
      <c r="E13" s="4"/>
    </row>
    <row r="14" spans="1:11" x14ac:dyDescent="0.25">
      <c r="A14" s="23" t="s">
        <v>56</v>
      </c>
      <c r="B14" s="89">
        <f>+B12+B13</f>
        <v>0.6</v>
      </c>
      <c r="C14" s="2"/>
      <c r="D14" s="2"/>
      <c r="E14" s="4"/>
    </row>
    <row r="15" spans="1:11" x14ac:dyDescent="0.25">
      <c r="A15" s="23" t="s">
        <v>22</v>
      </c>
      <c r="B15" s="25">
        <v>0.05</v>
      </c>
      <c r="C15" s="2"/>
      <c r="D15" s="2"/>
      <c r="E15" s="4"/>
    </row>
    <row r="16" spans="1:11" x14ac:dyDescent="0.25">
      <c r="A16" s="23" t="s">
        <v>25</v>
      </c>
      <c r="B16" s="26">
        <v>96</v>
      </c>
      <c r="C16" s="2"/>
      <c r="D16" s="2"/>
      <c r="E16" s="4"/>
    </row>
    <row r="17" spans="1:12" x14ac:dyDescent="0.25">
      <c r="A17" s="23" t="s">
        <v>21</v>
      </c>
      <c r="B17" s="24" t="s">
        <v>20</v>
      </c>
      <c r="C17" s="2"/>
      <c r="D17" s="2"/>
      <c r="E17" s="4"/>
    </row>
    <row r="18" spans="1:12" x14ac:dyDescent="0.25">
      <c r="A18" s="23" t="s">
        <v>54</v>
      </c>
      <c r="B18" s="24" t="s">
        <v>20</v>
      </c>
      <c r="C18" s="2"/>
      <c r="D18" s="2"/>
      <c r="E18" s="4"/>
    </row>
    <row r="19" spans="1:12" x14ac:dyDescent="0.25">
      <c r="A19" s="9" t="str">
        <f>IF(B17="NO","TAN (max 4%) - pre amm.to","TAN (max 4,5%) - pre amm.to")</f>
        <v>TAN (max 4%) - pre amm.to</v>
      </c>
      <c r="B19" s="28">
        <f>IF(B17="NO",MIN(2.5%,B15),MIN(3%,B15))</f>
        <v>2.5000000000000001E-2</v>
      </c>
      <c r="C19" s="2"/>
      <c r="D19" s="2"/>
      <c r="E19" s="4"/>
    </row>
    <row r="20" spans="1:12" ht="14.25" thickBot="1" x14ac:dyDescent="0.3">
      <c r="A20" s="9" t="str">
        <f>IF(B17="NO","TAN (max 4%) - amm.to","TAN (max 4,5%) - amm.to")</f>
        <v>TAN (max 4%) - amm.to</v>
      </c>
      <c r="B20" s="28">
        <f>IF(B17="NO",MIN(2.5%,B15),MIN(3%,B15))</f>
        <v>2.5000000000000001E-2</v>
      </c>
      <c r="C20" s="2"/>
      <c r="D20" s="2"/>
    </row>
    <row r="21" spans="1:12" ht="15" customHeight="1" x14ac:dyDescent="0.25">
      <c r="A21" s="10" t="s">
        <v>10</v>
      </c>
      <c r="B21" s="18">
        <v>12</v>
      </c>
      <c r="C21" s="2"/>
      <c r="D21" s="2"/>
    </row>
    <row r="22" spans="1:12" x14ac:dyDescent="0.25">
      <c r="A22" s="6" t="s">
        <v>23</v>
      </c>
      <c r="B22" s="19">
        <v>0</v>
      </c>
      <c r="C22" s="2"/>
      <c r="D22" s="2"/>
    </row>
    <row r="23" spans="1:12" ht="14.25" thickBot="1" x14ac:dyDescent="0.3">
      <c r="A23" s="11" t="s">
        <v>12</v>
      </c>
      <c r="B23" s="29">
        <f>B21*B22/12</f>
        <v>0</v>
      </c>
      <c r="C23" s="2"/>
      <c r="D23" s="2"/>
    </row>
    <row r="24" spans="1:12" x14ac:dyDescent="0.25">
      <c r="A24" s="12" t="s">
        <v>11</v>
      </c>
      <c r="B24" s="18">
        <v>12</v>
      </c>
      <c r="C24" s="2"/>
      <c r="D24" s="2"/>
    </row>
    <row r="25" spans="1:12" x14ac:dyDescent="0.25">
      <c r="A25" s="7" t="s">
        <v>24</v>
      </c>
      <c r="B25" s="20">
        <v>96</v>
      </c>
      <c r="C25" s="2"/>
      <c r="D25" s="2"/>
    </row>
    <row r="26" spans="1:12" ht="14.25" thickBot="1" x14ac:dyDescent="0.3">
      <c r="A26" s="13" t="s">
        <v>13</v>
      </c>
      <c r="B26" s="31">
        <f>B24*B25/12</f>
        <v>96</v>
      </c>
      <c r="C26" s="2"/>
      <c r="D26" s="2"/>
      <c r="F26" s="22"/>
      <c r="L26" s="3"/>
    </row>
    <row r="27" spans="1:12" x14ac:dyDescent="0.25">
      <c r="A27" s="8" t="s">
        <v>16</v>
      </c>
      <c r="B27" s="30">
        <f>IFERROR(B19/B21,0)</f>
        <v>2.0833333333333333E-3</v>
      </c>
    </row>
    <row r="28" spans="1:12" ht="14.25" thickBot="1" x14ac:dyDescent="0.3">
      <c r="A28" s="14" t="s">
        <v>15</v>
      </c>
      <c r="B28" s="32">
        <f>B20/B24</f>
        <v>2.0833333333333333E-3</v>
      </c>
    </row>
    <row r="29" spans="1:12" x14ac:dyDescent="0.25">
      <c r="A29" s="15" t="s">
        <v>19</v>
      </c>
      <c r="B29" s="21">
        <v>3.4500000000000003E-2</v>
      </c>
    </row>
    <row r="30" spans="1:12" ht="14.25" thickBot="1" x14ac:dyDescent="0.3">
      <c r="A30" s="16" t="s">
        <v>26</v>
      </c>
      <c r="B30" s="33">
        <v>0.01</v>
      </c>
    </row>
    <row r="31" spans="1:12" x14ac:dyDescent="0.25">
      <c r="A31" s="34" t="s">
        <v>53</v>
      </c>
      <c r="B31" s="87">
        <v>100</v>
      </c>
    </row>
    <row r="32" spans="1:12" x14ac:dyDescent="0.25">
      <c r="A32" s="35" t="s">
        <v>52</v>
      </c>
      <c r="B32" s="36">
        <f>MIN(5000,B31+B11*B14*B16/12*0.6%)</f>
        <v>4420</v>
      </c>
    </row>
    <row r="33" spans="1:2" x14ac:dyDescent="0.25">
      <c r="A33" s="65" t="s">
        <v>17</v>
      </c>
      <c r="B33" s="66">
        <f>MIN(8000,SUM('FNC-ORD_contributo interessi'!G3:G26,'FNC-ORD_contributo interessi'!P3:P98))</f>
        <v>8000</v>
      </c>
    </row>
    <row r="34" spans="1:2" ht="14.25" thickBot="1" x14ac:dyDescent="0.3">
      <c r="A34" s="67" t="s">
        <v>28</v>
      </c>
      <c r="B34" s="68">
        <f>B33+B32</f>
        <v>12420</v>
      </c>
    </row>
    <row r="35" spans="1:2" x14ac:dyDescent="0.25">
      <c r="A35" s="71" t="s">
        <v>50</v>
      </c>
      <c r="B35" s="88">
        <v>9.7999999999999997E-3</v>
      </c>
    </row>
    <row r="36" spans="1:2" ht="14.25" thickBot="1" x14ac:dyDescent="0.3">
      <c r="A36" s="72" t="s">
        <v>29</v>
      </c>
      <c r="B36" s="73">
        <f>'FNC-ORD_ESL riassicurazione'!D1</f>
        <v>5113.4546696078432</v>
      </c>
    </row>
    <row r="37" spans="1:2" x14ac:dyDescent="0.25">
      <c r="A37" s="69" t="s">
        <v>27</v>
      </c>
      <c r="B37" s="70">
        <f>+B34+B36</f>
        <v>17533.454669607843</v>
      </c>
    </row>
    <row r="40" spans="1:2" ht="14.25" x14ac:dyDescent="0.25">
      <c r="A40" s="27" t="str">
        <f>IF(AND(B18="NO",B13&gt;0%),"ATTENZIONE - E' STATO VALORIZZATO IL CAMPO Percentuale garanzia I grado con FCG (se presente) MA NON E' STATO VALORIZZATO CON SI IL CAMPO Presenza FCG",
IF(AND(B18="SI'",B13=0%),"ATTENZIONE - NON E' STATO VALORIZZATO IL CAMPO Percentuale garanzia I grado con FCG (se presente) MA E' STATO VALORIZZATO CON SI IL CAMPO Presenza FCG",
" "))</f>
        <v xml:space="preserve"> </v>
      </c>
    </row>
    <row r="41" spans="1:2" ht="14.25" x14ac:dyDescent="0.25">
      <c r="A41" s="27" t="str">
        <f>IF(B16=B22+B25," ","ATTENZIONE - E' STATA RIPORTATA UNA DURATA DEL FINANZIAMENTO NON COERENTE CON QUELLA DEL PREAMMORTAMENTO E DELL'AMMORTAMENTO")</f>
        <v xml:space="preserve"> </v>
      </c>
    </row>
    <row r="42" spans="1:2" ht="14.25" x14ac:dyDescent="0.25">
      <c r="A42" s="27" t="str">
        <f>IF(AND(B18="SI'",B14&gt;70%),"ATTENZIONE - LA PERCENTUALE DI GARANZIA DI I GRADO NON PUO' RISULTARE SUPERIORE AL 70% IN CASO DI COGARANZIA FCG"," ")</f>
        <v xml:space="preserve"> </v>
      </c>
    </row>
  </sheetData>
  <dataValidations count="9">
    <dataValidation type="decimal" allowBlank="1" showInputMessage="1" showErrorMessage="1" sqref="B11" xr:uid="{847BB09A-D7A7-4F3F-A5B3-D8FFC1AC0442}">
      <formula1>15000</formula1>
      <formula2>150000</formula2>
    </dataValidation>
    <dataValidation type="whole" operator="lessThanOrEqual" allowBlank="1" showInputMessage="1" showErrorMessage="1" sqref="B25 B16" xr:uid="{BDFD8104-B32A-496A-A62B-9AC0E93EE3E3}">
      <formula1>96</formula1>
    </dataValidation>
    <dataValidation operator="lessThanOrEqual" allowBlank="1" showInputMessage="1" showErrorMessage="1" sqref="B22" xr:uid="{E293D140-E769-4A2D-BAFD-5334441CBA0B}"/>
    <dataValidation type="decimal" operator="lessThanOrEqual" allowBlank="1" showInputMessage="1" showErrorMessage="1" sqref="B20" xr:uid="{EA2CC33E-A74D-48D9-AFD9-71C3F902A7A0}">
      <formula1>0.05</formula1>
    </dataValidation>
    <dataValidation type="decimal" operator="lessThanOrEqual" allowBlank="1" showInputMessage="1" showErrorMessage="1" sqref="B31:B32" xr:uid="{AE4603B0-1958-416E-A7CB-A1342B2094A9}">
      <formula1>5000</formula1>
    </dataValidation>
    <dataValidation type="decimal" operator="lessThanOrEqual" allowBlank="1" showInputMessage="1" showErrorMessage="1" sqref="B19" xr:uid="{E74F8D87-E86D-43B2-8405-69B7BF3AEB7C}">
      <formula1>0.0475</formula1>
    </dataValidation>
    <dataValidation type="decimal" operator="lessThanOrEqual" allowBlank="1" showInputMessage="1" showErrorMessage="1" sqref="B13:B14 B12" xr:uid="{3996F018-B97D-484B-BF9F-0296A560B9AB}">
      <formula1>0.8</formula1>
    </dataValidation>
    <dataValidation type="list" allowBlank="1" showInputMessage="1" showErrorMessage="1" sqref="B17:B18" xr:uid="{A9F12257-86F9-43BD-98C0-01894ECF2764}">
      <formula1>"SI',NO"</formula1>
    </dataValidation>
    <dataValidation type="decimal" operator="greaterThan" allowBlank="1" showInputMessage="1" showErrorMessage="1" sqref="B15" xr:uid="{2003503F-71EC-43D0-AB61-0DD0F656F4D3}">
      <formula1>0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822206-5255-48F6-8015-1A90087A8FEA}">
          <x14:formula1>
            <xm:f>'Frequenza rate'!$A$2:$A$7</xm:f>
          </x14:formula1>
          <xm:sqref>B21</xm:sqref>
        </x14:dataValidation>
        <x14:dataValidation type="list" allowBlank="1" showInputMessage="1" showErrorMessage="1" xr:uid="{C53B32A2-916A-496A-B556-3710E85EFDEA}">
          <x14:formula1>
            <xm:f>'Frequenza rate'!$A$2:$A$6</xm:f>
          </x14:formula1>
          <xm:sqref>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98"/>
  <sheetViews>
    <sheetView zoomScale="85" zoomScaleNormal="85" workbookViewId="0">
      <selection activeCell="F30" sqref="F30"/>
    </sheetView>
  </sheetViews>
  <sheetFormatPr defaultRowHeight="13.5" x14ac:dyDescent="0.25"/>
  <cols>
    <col min="1" max="1" width="10.7109375" bestFit="1" customWidth="1"/>
    <col min="2" max="2" width="12.7109375" bestFit="1" customWidth="1"/>
    <col min="3" max="3" width="12.28515625" bestFit="1" customWidth="1"/>
    <col min="4" max="4" width="14.28515625" bestFit="1" customWidth="1"/>
    <col min="5" max="5" width="12" bestFit="1" customWidth="1"/>
    <col min="6" max="6" width="12.7109375" bestFit="1" customWidth="1"/>
    <col min="7" max="7" width="40.5703125" customWidth="1"/>
    <col min="8" max="8" width="2" bestFit="1" customWidth="1"/>
    <col min="9" max="9" width="5.28515625" customWidth="1"/>
    <col min="10" max="10" width="10.7109375" bestFit="1" customWidth="1"/>
    <col min="11" max="11" width="12.7109375" bestFit="1" customWidth="1"/>
    <col min="12" max="12" width="12.28515625" bestFit="1" customWidth="1"/>
    <col min="13" max="13" width="14.28515625" bestFit="1" customWidth="1"/>
    <col min="14" max="14" width="12" bestFit="1" customWidth="1"/>
    <col min="15" max="15" width="12.7109375" bestFit="1" customWidth="1"/>
    <col min="16" max="16" width="39.7109375" customWidth="1"/>
    <col min="17" max="17" width="2" bestFit="1" customWidth="1"/>
  </cols>
  <sheetData>
    <row r="1" spans="1:17" x14ac:dyDescent="0.25">
      <c r="A1" s="90" t="s">
        <v>1</v>
      </c>
      <c r="B1" s="91"/>
      <c r="C1" s="91"/>
      <c r="D1" s="91"/>
      <c r="E1" s="91"/>
      <c r="F1" s="91"/>
      <c r="G1" s="92"/>
      <c r="J1" s="90" t="s">
        <v>9</v>
      </c>
      <c r="K1" s="91"/>
      <c r="L1" s="91"/>
      <c r="M1" s="91"/>
      <c r="N1" s="91"/>
      <c r="O1" s="91"/>
      <c r="P1" s="92"/>
    </row>
    <row r="2" spans="1:17" x14ac:dyDescent="0.25">
      <c r="A2" s="82" t="s">
        <v>3</v>
      </c>
      <c r="B2" s="82" t="s">
        <v>4</v>
      </c>
      <c r="C2" s="82" t="s">
        <v>5</v>
      </c>
      <c r="D2" s="82" t="s">
        <v>6</v>
      </c>
      <c r="E2" s="82" t="s">
        <v>7</v>
      </c>
      <c r="F2" s="82" t="s">
        <v>8</v>
      </c>
      <c r="G2" s="83" t="s">
        <v>2</v>
      </c>
      <c r="J2" s="82" t="s">
        <v>3</v>
      </c>
      <c r="K2" s="82" t="s">
        <v>4</v>
      </c>
      <c r="L2" s="82" t="s">
        <v>5</v>
      </c>
      <c r="M2" s="82" t="s">
        <v>6</v>
      </c>
      <c r="N2" s="82" t="s">
        <v>7</v>
      </c>
      <c r="O2" s="82" t="s">
        <v>8</v>
      </c>
      <c r="P2" s="83" t="s">
        <v>2</v>
      </c>
    </row>
    <row r="3" spans="1:17" x14ac:dyDescent="0.25">
      <c r="A3" s="84">
        <f>IF('FNC-ORD_prospetto riassuntivo'!B23=0,0,1)</f>
        <v>0</v>
      </c>
      <c r="B3" s="85">
        <f>'FNC-ORD_prospetto riassuntivo'!$B$11*'FNC-ORD_prospetto riassuntivo'!$B$27*H3</f>
        <v>0</v>
      </c>
      <c r="C3" s="85">
        <v>0</v>
      </c>
      <c r="D3" s="85">
        <f t="shared" ref="D3:D26" si="0">B3</f>
        <v>0</v>
      </c>
      <c r="E3" s="85">
        <v>0</v>
      </c>
      <c r="F3" s="85">
        <f>'FNC-ORD_prospetto riassuntivo'!$B$11</f>
        <v>150000</v>
      </c>
      <c r="G3" s="85">
        <f>B3/((1+IFERROR(SUM('FNC-ORD_prospetto riassuntivo'!$B$29,'FNC-ORD_prospetto riassuntivo'!$B$30)/'FNC-ORD_prospetto riassuntivo'!$B$21,0))^A3)</f>
        <v>0</v>
      </c>
      <c r="H3">
        <f>IF(A3=0,0,IF(OR(A3&lt;'FNC-ORD_prospetto riassuntivo'!$B$23,A3='FNC-ORD_prospetto riassuntivo'!$B$23),1,0))</f>
        <v>0</v>
      </c>
      <c r="J3" s="84">
        <f>MAX(A3:A38)+1</f>
        <v>1</v>
      </c>
      <c r="K3" s="85">
        <f>'FNC-ORD_prospetto riassuntivo'!$B$11*'FNC-ORD_prospetto riassuntivo'!$B$28*Q3</f>
        <v>312.5</v>
      </c>
      <c r="L3" s="85">
        <f t="shared" ref="L3:L34" si="1">M3-K3</f>
        <v>1413.0764970123973</v>
      </c>
      <c r="M3" s="85">
        <f>-PMT('FNC-ORD_prospetto riassuntivo'!B28,'FNC-ORD_prospetto riassuntivo'!B26,'FNC-ORD_prospetto riassuntivo'!B11,,0)</f>
        <v>1725.5764970123973</v>
      </c>
      <c r="N3" s="85">
        <f>(L3)*Q3</f>
        <v>1413.0764970123973</v>
      </c>
      <c r="O3" s="85">
        <f>('FNC-ORD_prospetto riassuntivo'!$B$11-N3)*Q3</f>
        <v>148586.9235029876</v>
      </c>
      <c r="P3" s="85">
        <f>K3/(1+SUM('FNC-ORD_prospetto riassuntivo'!$B$29:$B$30)/'FNC-ORD_prospetto riassuntivo'!$B$24)^J3</f>
        <v>311.34542737348994</v>
      </c>
      <c r="Q3">
        <f>IF(J3=0,0,IF(OR(J3&lt;'FNC-ORD_prospetto riassuntivo'!$B$23+'FNC-ORD_prospetto riassuntivo'!$B$26,J3='FNC-ORD_prospetto riassuntivo'!$B$23+'FNC-ORD_prospetto riassuntivo'!$B$26),1,0))</f>
        <v>1</v>
      </c>
    </row>
    <row r="4" spans="1:17" x14ac:dyDescent="0.25">
      <c r="A4" s="84">
        <f>IF(A3=0,0,IF('FNC-ORD_prospetto riassuntivo'!$B$23&gt;A3,A3+1,0))</f>
        <v>0</v>
      </c>
      <c r="B4" s="85">
        <f>'FNC-ORD_prospetto riassuntivo'!$B$11*'FNC-ORD_prospetto riassuntivo'!$B$27*H4</f>
        <v>0</v>
      </c>
      <c r="C4" s="85">
        <v>0</v>
      </c>
      <c r="D4" s="85">
        <f t="shared" si="0"/>
        <v>0</v>
      </c>
      <c r="E4" s="85">
        <v>0</v>
      </c>
      <c r="F4" s="85">
        <f>'FNC-ORD_prospetto riassuntivo'!$B$11</f>
        <v>150000</v>
      </c>
      <c r="G4" s="85">
        <f>B4/((1+IFERROR(SUM('FNC-ORD_prospetto riassuntivo'!$B$29,'FNC-ORD_prospetto riassuntivo'!$B$30)/'FNC-ORD_prospetto riassuntivo'!$B$21,0))^A4)</f>
        <v>0</v>
      </c>
      <c r="H4">
        <f>IF(A4=0,0,IF(OR(A4&lt;'FNC-ORD_prospetto riassuntivo'!$B$23,A4='FNC-ORD_prospetto riassuntivo'!$B$23),1,0))</f>
        <v>0</v>
      </c>
      <c r="J4" s="84">
        <f>IF(J3=0,0,IF('FNC-ORD_prospetto riassuntivo'!$B$23+'FNC-ORD_prospetto riassuntivo'!$B$26&gt;J3,J3+1,0))</f>
        <v>2</v>
      </c>
      <c r="K4" s="85">
        <f>O3*'FNC-ORD_prospetto riassuntivo'!$B$28*Q4</f>
        <v>309.55609063122415</v>
      </c>
      <c r="L4" s="85">
        <f t="shared" si="1"/>
        <v>1416.0204063811732</v>
      </c>
      <c r="M4" s="85">
        <f t="shared" ref="M4:M35" si="2">$M$3*Q4</f>
        <v>1725.5764970123973</v>
      </c>
      <c r="N4" s="86">
        <f t="shared" ref="N4:N35" si="3">(L4+N3)*Q4</f>
        <v>2829.0969033935708</v>
      </c>
      <c r="O4" s="85">
        <f>('FNC-ORD_prospetto riassuntivo'!$B$11-N4)*Q4</f>
        <v>147170.90309660643</v>
      </c>
      <c r="P4" s="85">
        <f>K4/(1+SUM('FNC-ORD_prospetto riassuntivo'!$B$29:$B$30)/'FNC-ORD_prospetto riassuntivo'!$B$24)^J4</f>
        <v>307.27292424027382</v>
      </c>
      <c r="Q4">
        <f>IF(J4=0,0,IF(OR(J4&lt;'FNC-ORD_prospetto riassuntivo'!$B$23+'FNC-ORD_prospetto riassuntivo'!$B$26,J4='FNC-ORD_prospetto riassuntivo'!$B$23+'FNC-ORD_prospetto riassuntivo'!$B$26),1,0))</f>
        <v>1</v>
      </c>
    </row>
    <row r="5" spans="1:17" x14ac:dyDescent="0.25">
      <c r="A5" s="84">
        <f>IF(A4=0,0,IF('FNC-ORD_prospetto riassuntivo'!$B$23&gt;A4,A4+1,0))</f>
        <v>0</v>
      </c>
      <c r="B5" s="85">
        <f>'FNC-ORD_prospetto riassuntivo'!$B$11*'FNC-ORD_prospetto riassuntivo'!$B$27*H5</f>
        <v>0</v>
      </c>
      <c r="C5" s="85">
        <v>0</v>
      </c>
      <c r="D5" s="85">
        <f t="shared" si="0"/>
        <v>0</v>
      </c>
      <c r="E5" s="85">
        <v>0</v>
      </c>
      <c r="F5" s="85">
        <f>'FNC-ORD_prospetto riassuntivo'!$B$11</f>
        <v>150000</v>
      </c>
      <c r="G5" s="85">
        <f>B5/((1+IFERROR(SUM('FNC-ORD_prospetto riassuntivo'!$B$29,'FNC-ORD_prospetto riassuntivo'!$B$30)/'FNC-ORD_prospetto riassuntivo'!$B$21,0))^A5)</f>
        <v>0</v>
      </c>
      <c r="H5">
        <f>IF(A5=0,0,IF(OR(A5&lt;'FNC-ORD_prospetto riassuntivo'!$B$23,A5='FNC-ORD_prospetto riassuntivo'!$B$23),1,0))</f>
        <v>0</v>
      </c>
      <c r="J5" s="84">
        <f>IF(J4=0,0,IF('FNC-ORD_prospetto riassuntivo'!$B$23+'FNC-ORD_prospetto riassuntivo'!$B$26&gt;J4,J4+1,0))</f>
        <v>3</v>
      </c>
      <c r="K5" s="85">
        <f>O4*'FNC-ORD_prospetto riassuntivo'!$B$28*Q5</f>
        <v>306.60604811793007</v>
      </c>
      <c r="L5" s="85">
        <f t="shared" si="1"/>
        <v>1418.9704488944672</v>
      </c>
      <c r="M5" s="85">
        <f t="shared" si="2"/>
        <v>1725.5764970123973</v>
      </c>
      <c r="N5" s="86">
        <f t="shared" si="3"/>
        <v>4248.0673522880379</v>
      </c>
      <c r="O5" s="85">
        <f>('FNC-ORD_prospetto riassuntivo'!$B$11-N5)*Q5</f>
        <v>145751.93264771198</v>
      </c>
      <c r="P5" s="85">
        <f>K5/(1+SUM('FNC-ORD_prospetto riassuntivo'!$B$29:$B$30)/'FNC-ORD_prospetto riassuntivo'!$B$24)^J5</f>
        <v>303.22019853375684</v>
      </c>
      <c r="Q5">
        <f>IF(J5=0,0,IF(OR(J5&lt;'FNC-ORD_prospetto riassuntivo'!$B$23+'FNC-ORD_prospetto riassuntivo'!$B$26,J5='FNC-ORD_prospetto riassuntivo'!$B$23+'FNC-ORD_prospetto riassuntivo'!$B$26),1,0))</f>
        <v>1</v>
      </c>
    </row>
    <row r="6" spans="1:17" x14ac:dyDescent="0.25">
      <c r="A6" s="84">
        <f>IF(A5=0,0,IF('FNC-ORD_prospetto riassuntivo'!$B$23&gt;A5,A5+1,0))</f>
        <v>0</v>
      </c>
      <c r="B6" s="85">
        <f>'FNC-ORD_prospetto riassuntivo'!$B$11*'FNC-ORD_prospetto riassuntivo'!$B$27*H6</f>
        <v>0</v>
      </c>
      <c r="C6" s="85">
        <v>0</v>
      </c>
      <c r="D6" s="85">
        <f t="shared" si="0"/>
        <v>0</v>
      </c>
      <c r="E6" s="85">
        <v>0</v>
      </c>
      <c r="F6" s="85">
        <f>'FNC-ORD_prospetto riassuntivo'!$B$11</f>
        <v>150000</v>
      </c>
      <c r="G6" s="85">
        <f>B6/((1+IFERROR(SUM('FNC-ORD_prospetto riassuntivo'!$B$29,'FNC-ORD_prospetto riassuntivo'!$B$30)/'FNC-ORD_prospetto riassuntivo'!$B$21,0))^A6)</f>
        <v>0</v>
      </c>
      <c r="H6">
        <f>IF(A6=0,0,IF(OR(A6&lt;'FNC-ORD_prospetto riassuntivo'!$B$23,A6='FNC-ORD_prospetto riassuntivo'!$B$23),1,0))</f>
        <v>0</v>
      </c>
      <c r="J6" s="84">
        <f>IF(J5=0,0,IF('FNC-ORD_prospetto riassuntivo'!$B$23+'FNC-ORD_prospetto riassuntivo'!$B$26&gt;J5,J5+1,0))</f>
        <v>4</v>
      </c>
      <c r="K6" s="85">
        <f>O5*'FNC-ORD_prospetto riassuntivo'!$B$28*Q6</f>
        <v>303.64985968273328</v>
      </c>
      <c r="L6" s="85">
        <f t="shared" si="1"/>
        <v>1421.9266373296641</v>
      </c>
      <c r="M6" s="85">
        <f t="shared" si="2"/>
        <v>1725.5764970123973</v>
      </c>
      <c r="N6" s="86">
        <f t="shared" si="3"/>
        <v>5669.993989617702</v>
      </c>
      <c r="O6" s="85">
        <f>('FNC-ORD_prospetto riassuntivo'!$B$11-N6)*Q6</f>
        <v>144330.00601038229</v>
      </c>
      <c r="P6" s="85">
        <f>K6/(1+SUM('FNC-ORD_prospetto riassuntivo'!$B$29:$B$30)/'FNC-ORD_prospetto riassuntivo'!$B$24)^J6</f>
        <v>299.1871695241062</v>
      </c>
      <c r="Q6">
        <f>IF(J6=0,0,IF(OR(J6&lt;'FNC-ORD_prospetto riassuntivo'!$B$23+'FNC-ORD_prospetto riassuntivo'!$B$26,J6='FNC-ORD_prospetto riassuntivo'!$B$23+'FNC-ORD_prospetto riassuntivo'!$B$26),1,0))</f>
        <v>1</v>
      </c>
    </row>
    <row r="7" spans="1:17" x14ac:dyDescent="0.25">
      <c r="A7" s="84">
        <f>IF(A6=0,0,IF('FNC-ORD_prospetto riassuntivo'!$B$23&gt;A6,A6+1,0))</f>
        <v>0</v>
      </c>
      <c r="B7" s="85">
        <f>'FNC-ORD_prospetto riassuntivo'!$B$11*'FNC-ORD_prospetto riassuntivo'!$B$27*H7</f>
        <v>0</v>
      </c>
      <c r="C7" s="85">
        <v>0</v>
      </c>
      <c r="D7" s="85">
        <f t="shared" si="0"/>
        <v>0</v>
      </c>
      <c r="E7" s="85">
        <v>0</v>
      </c>
      <c r="F7" s="85">
        <f>'FNC-ORD_prospetto riassuntivo'!$B$11</f>
        <v>150000</v>
      </c>
      <c r="G7" s="85">
        <f>B7/((1+IFERROR(SUM('FNC-ORD_prospetto riassuntivo'!$B$29,'FNC-ORD_prospetto riassuntivo'!$B$30)/'FNC-ORD_prospetto riassuntivo'!$B$21,0))^A7)</f>
        <v>0</v>
      </c>
      <c r="H7">
        <f>IF(A7=0,0,IF(OR(A7&lt;'FNC-ORD_prospetto riassuntivo'!$B$23,A7='FNC-ORD_prospetto riassuntivo'!$B$23),1,0))</f>
        <v>0</v>
      </c>
      <c r="J7" s="84">
        <f>IF(J6=0,0,IF('FNC-ORD_prospetto riassuntivo'!$B$23+'FNC-ORD_prospetto riassuntivo'!$B$26&gt;J6,J6+1,0))</f>
        <v>5</v>
      </c>
      <c r="K7" s="85">
        <f>O6*'FNC-ORD_prospetto riassuntivo'!$B$28*Q7</f>
        <v>300.68751252162974</v>
      </c>
      <c r="L7" s="85">
        <f t="shared" si="1"/>
        <v>1424.8889844907676</v>
      </c>
      <c r="M7" s="85">
        <f t="shared" si="2"/>
        <v>1725.5764970123973</v>
      </c>
      <c r="N7" s="86">
        <f t="shared" si="3"/>
        <v>7094.8829741084701</v>
      </c>
      <c r="O7" s="85">
        <f>('FNC-ORD_prospetto riassuntivo'!$B$11-N7)*Q7</f>
        <v>142905.11702589152</v>
      </c>
      <c r="P7" s="85">
        <f>K7/(1+SUM('FNC-ORD_prospetto riassuntivo'!$B$29:$B$30)/'FNC-ORD_prospetto riassuntivo'!$B$24)^J7</f>
        <v>295.17375679215718</v>
      </c>
      <c r="Q7">
        <f>IF(J7=0,0,IF(OR(J7&lt;'FNC-ORD_prospetto riassuntivo'!$B$23+'FNC-ORD_prospetto riassuntivo'!$B$26,J7='FNC-ORD_prospetto riassuntivo'!$B$23+'FNC-ORD_prospetto riassuntivo'!$B$26),1,0))</f>
        <v>1</v>
      </c>
    </row>
    <row r="8" spans="1:17" x14ac:dyDescent="0.25">
      <c r="A8" s="84">
        <f>IF(A7=0,0,IF('FNC-ORD_prospetto riassuntivo'!$B$23&gt;A7,A7+1,0))</f>
        <v>0</v>
      </c>
      <c r="B8" s="85">
        <f>'FNC-ORD_prospetto riassuntivo'!$B$11*'FNC-ORD_prospetto riassuntivo'!$B$27*H8</f>
        <v>0</v>
      </c>
      <c r="C8" s="85">
        <v>0</v>
      </c>
      <c r="D8" s="85">
        <f t="shared" si="0"/>
        <v>0</v>
      </c>
      <c r="E8" s="85">
        <v>0</v>
      </c>
      <c r="F8" s="85">
        <f>'FNC-ORD_prospetto riassuntivo'!$B$11</f>
        <v>150000</v>
      </c>
      <c r="G8" s="85">
        <f>B8/((1+IFERROR(SUM('FNC-ORD_prospetto riassuntivo'!$B$29,'FNC-ORD_prospetto riassuntivo'!$B$30)/'FNC-ORD_prospetto riassuntivo'!$B$21,0))^A8)</f>
        <v>0</v>
      </c>
      <c r="H8">
        <f>IF(A8=0,0,IF(OR(A8&lt;'FNC-ORD_prospetto riassuntivo'!$B$23,A8='FNC-ORD_prospetto riassuntivo'!$B$23),1,0))</f>
        <v>0</v>
      </c>
      <c r="J8" s="84">
        <f>IF(J7=0,0,IF('FNC-ORD_prospetto riassuntivo'!$B$23+'FNC-ORD_prospetto riassuntivo'!$B$26&gt;J7,J7+1,0))</f>
        <v>6</v>
      </c>
      <c r="K8" s="85">
        <f>O7*'FNC-ORD_prospetto riassuntivo'!$B$28*Q8</f>
        <v>297.71899380394069</v>
      </c>
      <c r="L8" s="85">
        <f t="shared" si="1"/>
        <v>1427.8575032084566</v>
      </c>
      <c r="M8" s="85">
        <f t="shared" si="2"/>
        <v>1725.5764970123973</v>
      </c>
      <c r="N8" s="86">
        <f t="shared" si="3"/>
        <v>8522.7404773169274</v>
      </c>
      <c r="O8" s="85">
        <f>('FNC-ORD_prospetto riassuntivo'!$B$11-N8)*Q8</f>
        <v>141477.25952268307</v>
      </c>
      <c r="P8" s="85">
        <f>K8/(1+SUM('FNC-ORD_prospetto riassuntivo'!$B$29:$B$30)/'FNC-ORD_prospetto riassuntivo'!$B$24)^J8</f>
        <v>291.179880228245</v>
      </c>
      <c r="Q8">
        <f>IF(J8=0,0,IF(OR(J8&lt;'FNC-ORD_prospetto riassuntivo'!$B$23+'FNC-ORD_prospetto riassuntivo'!$B$26,J8='FNC-ORD_prospetto riassuntivo'!$B$23+'FNC-ORD_prospetto riassuntivo'!$B$26),1,0))</f>
        <v>1</v>
      </c>
    </row>
    <row r="9" spans="1:17" x14ac:dyDescent="0.25">
      <c r="A9" s="84">
        <f>IF(A8=0,0,IF('FNC-ORD_prospetto riassuntivo'!$B$23&gt;A8,A8+1,0))</f>
        <v>0</v>
      </c>
      <c r="B9" s="85">
        <f>'FNC-ORD_prospetto riassuntivo'!$B$11*'FNC-ORD_prospetto riassuntivo'!$B$27*H9</f>
        <v>0</v>
      </c>
      <c r="C9" s="85">
        <v>0</v>
      </c>
      <c r="D9" s="85">
        <f t="shared" si="0"/>
        <v>0</v>
      </c>
      <c r="E9" s="85">
        <v>0</v>
      </c>
      <c r="F9" s="85">
        <f>'FNC-ORD_prospetto riassuntivo'!$B$11</f>
        <v>150000</v>
      </c>
      <c r="G9" s="85">
        <f>B9/((1+IFERROR(SUM('FNC-ORD_prospetto riassuntivo'!$B$29,'FNC-ORD_prospetto riassuntivo'!$B$30)/'FNC-ORD_prospetto riassuntivo'!$B$21,0))^A9)</f>
        <v>0</v>
      </c>
      <c r="H9">
        <f>IF(A9=0,0,IF(OR(A9&lt;'FNC-ORD_prospetto riassuntivo'!$B$23,A9='FNC-ORD_prospetto riassuntivo'!$B$23),1,0))</f>
        <v>0</v>
      </c>
      <c r="J9" s="84">
        <f>IF(J8=0,0,IF('FNC-ORD_prospetto riassuntivo'!$B$23+'FNC-ORD_prospetto riassuntivo'!$B$26&gt;J8,J8+1,0))</f>
        <v>7</v>
      </c>
      <c r="K9" s="85">
        <f>O8*'FNC-ORD_prospetto riassuntivo'!$B$28*Q9</f>
        <v>294.7442906722564</v>
      </c>
      <c r="L9" s="85">
        <f t="shared" si="1"/>
        <v>1430.8322063401411</v>
      </c>
      <c r="M9" s="85">
        <f t="shared" si="2"/>
        <v>1725.5764970123973</v>
      </c>
      <c r="N9" s="86">
        <f t="shared" si="3"/>
        <v>9953.5726836570684</v>
      </c>
      <c r="O9" s="85">
        <f>('FNC-ORD_prospetto riassuntivo'!$B$11-N9)*Q9</f>
        <v>140046.42731634295</v>
      </c>
      <c r="P9" s="85">
        <f>K9/(1+SUM('FNC-ORD_prospetto riassuntivo'!$B$29:$B$30)/'FNC-ORD_prospetto riassuntivo'!$B$24)^J9</f>
        <v>287.20546003104084</v>
      </c>
      <c r="Q9">
        <f>IF(J9=0,0,IF(OR(J9&lt;'FNC-ORD_prospetto riassuntivo'!$B$23+'FNC-ORD_prospetto riassuntivo'!$B$26,J9='FNC-ORD_prospetto riassuntivo'!$B$23+'FNC-ORD_prospetto riassuntivo'!$B$26),1,0))</f>
        <v>1</v>
      </c>
    </row>
    <row r="10" spans="1:17" x14ac:dyDescent="0.25">
      <c r="A10" s="84">
        <f>IF(A9=0,0,IF('FNC-ORD_prospetto riassuntivo'!$B$23&gt;A9,A9+1,0))</f>
        <v>0</v>
      </c>
      <c r="B10" s="85">
        <f>'FNC-ORD_prospetto riassuntivo'!$B$11*'FNC-ORD_prospetto riassuntivo'!$B$27*H10</f>
        <v>0</v>
      </c>
      <c r="C10" s="85">
        <v>0</v>
      </c>
      <c r="D10" s="85">
        <f t="shared" si="0"/>
        <v>0</v>
      </c>
      <c r="E10" s="85">
        <v>0</v>
      </c>
      <c r="F10" s="85">
        <f>'FNC-ORD_prospetto riassuntivo'!$B$11</f>
        <v>150000</v>
      </c>
      <c r="G10" s="85">
        <f>B10/((1+IFERROR(SUM('FNC-ORD_prospetto riassuntivo'!$B$29,'FNC-ORD_prospetto riassuntivo'!$B$30)/'FNC-ORD_prospetto riassuntivo'!$B$21,0))^A10)</f>
        <v>0</v>
      </c>
      <c r="H10">
        <f>IF(A10=0,0,IF(OR(A10&lt;'FNC-ORD_prospetto riassuntivo'!$B$23,A10='FNC-ORD_prospetto riassuntivo'!$B$23),1,0))</f>
        <v>0</v>
      </c>
      <c r="J10" s="84">
        <f>IF(J9=0,0,IF('FNC-ORD_prospetto riassuntivo'!$B$23+'FNC-ORD_prospetto riassuntivo'!$B$26&gt;J9,J9+1,0))</f>
        <v>8</v>
      </c>
      <c r="K10" s="85">
        <f>O9*'FNC-ORD_prospetto riassuntivo'!$B$28*Q10</f>
        <v>291.76339024238115</v>
      </c>
      <c r="L10" s="85">
        <f t="shared" si="1"/>
        <v>1433.8131067700162</v>
      </c>
      <c r="M10" s="85">
        <f t="shared" si="2"/>
        <v>1725.5764970123973</v>
      </c>
      <c r="N10" s="86">
        <f t="shared" si="3"/>
        <v>11387.385790427084</v>
      </c>
      <c r="O10" s="85">
        <f>('FNC-ORD_prospetto riassuntivo'!$B$11-N10)*Q10</f>
        <v>138612.6142095729</v>
      </c>
      <c r="P10" s="85">
        <f>K10/(1+SUM('FNC-ORD_prospetto riassuntivo'!$B$29:$B$30)/'FNC-ORD_prospetto riassuntivo'!$B$24)^J10</f>
        <v>283.25041670639342</v>
      </c>
      <c r="Q10">
        <f>IF(J10=0,0,IF(OR(J10&lt;'FNC-ORD_prospetto riassuntivo'!$B$23+'FNC-ORD_prospetto riassuntivo'!$B$26,J10='FNC-ORD_prospetto riassuntivo'!$B$23+'FNC-ORD_prospetto riassuntivo'!$B$26),1,0))</f>
        <v>1</v>
      </c>
    </row>
    <row r="11" spans="1:17" x14ac:dyDescent="0.25">
      <c r="A11" s="84">
        <f>IF(A10=0,0,IF('FNC-ORD_prospetto riassuntivo'!$B$23&gt;A10,A10+1,0))</f>
        <v>0</v>
      </c>
      <c r="B11" s="85">
        <f>'FNC-ORD_prospetto riassuntivo'!$B$11*'FNC-ORD_prospetto riassuntivo'!$B$27*H11</f>
        <v>0</v>
      </c>
      <c r="C11" s="85">
        <v>0</v>
      </c>
      <c r="D11" s="85">
        <f t="shared" si="0"/>
        <v>0</v>
      </c>
      <c r="E11" s="85">
        <v>0</v>
      </c>
      <c r="F11" s="85">
        <f>'FNC-ORD_prospetto riassuntivo'!$B$11</f>
        <v>150000</v>
      </c>
      <c r="G11" s="85">
        <f>B11/((1+IFERROR(SUM('FNC-ORD_prospetto riassuntivo'!$B$29,'FNC-ORD_prospetto riassuntivo'!$B$30)/'FNC-ORD_prospetto riassuntivo'!$B$21,0))^A11)</f>
        <v>0</v>
      </c>
      <c r="H11">
        <f>IF(A11=0,0,IF(OR(A11&lt;'FNC-ORD_prospetto riassuntivo'!$B$23,A11='FNC-ORD_prospetto riassuntivo'!$B$23),1,0))</f>
        <v>0</v>
      </c>
      <c r="J11" s="84">
        <f>IF(J10=0,0,IF('FNC-ORD_prospetto riassuntivo'!$B$23+'FNC-ORD_prospetto riassuntivo'!$B$26&gt;J10,J10+1,0))</f>
        <v>9</v>
      </c>
      <c r="K11" s="85">
        <f>O10*'FNC-ORD_prospetto riassuntivo'!$B$28*Q11</f>
        <v>288.77627960327686</v>
      </c>
      <c r="L11" s="85">
        <f t="shared" si="1"/>
        <v>1436.8002174091205</v>
      </c>
      <c r="M11" s="85">
        <f t="shared" si="2"/>
        <v>1725.5764970123973</v>
      </c>
      <c r="N11" s="86">
        <f t="shared" si="3"/>
        <v>12824.186007836204</v>
      </c>
      <c r="O11" s="85">
        <f>('FNC-ORD_prospetto riassuntivo'!$B$11-N11)*Q11</f>
        <v>137175.81399216381</v>
      </c>
      <c r="P11" s="85">
        <f>K11/(1+SUM('FNC-ORD_prospetto riassuntivo'!$B$29:$B$30)/'FNC-ORD_prospetto riassuntivo'!$B$24)^J11</f>
        <v>279.31467106617345</v>
      </c>
      <c r="Q11">
        <f>IF(J11=0,0,IF(OR(J11&lt;'FNC-ORD_prospetto riassuntivo'!$B$23+'FNC-ORD_prospetto riassuntivo'!$B$26,J11='FNC-ORD_prospetto riassuntivo'!$B$23+'FNC-ORD_prospetto riassuntivo'!$B$26),1,0))</f>
        <v>1</v>
      </c>
    </row>
    <row r="12" spans="1:17" x14ac:dyDescent="0.25">
      <c r="A12" s="84">
        <f>IF(A11=0,0,IF('FNC-ORD_prospetto riassuntivo'!$B$23&gt;A11,A11+1,0))</f>
        <v>0</v>
      </c>
      <c r="B12" s="85">
        <f>'FNC-ORD_prospetto riassuntivo'!$B$11*'FNC-ORD_prospetto riassuntivo'!$B$27*H12</f>
        <v>0</v>
      </c>
      <c r="C12" s="85">
        <v>0</v>
      </c>
      <c r="D12" s="85">
        <f t="shared" si="0"/>
        <v>0</v>
      </c>
      <c r="E12" s="85">
        <v>0</v>
      </c>
      <c r="F12" s="85">
        <f>'FNC-ORD_prospetto riassuntivo'!$B$11</f>
        <v>150000</v>
      </c>
      <c r="G12" s="85">
        <f>B12/((1+IFERROR(SUM('FNC-ORD_prospetto riassuntivo'!$B$29,'FNC-ORD_prospetto riassuntivo'!$B$30)/'FNC-ORD_prospetto riassuntivo'!$B$21,0))^A12)</f>
        <v>0</v>
      </c>
      <c r="H12">
        <f>IF(A12=0,0,IF(OR(A12&lt;'FNC-ORD_prospetto riassuntivo'!$B$23,A12='FNC-ORD_prospetto riassuntivo'!$B$23),1,0))</f>
        <v>0</v>
      </c>
      <c r="J12" s="84">
        <f>IF(J11=0,0,IF('FNC-ORD_prospetto riassuntivo'!$B$23+'FNC-ORD_prospetto riassuntivo'!$B$26&gt;J11,J11+1,0))</f>
        <v>10</v>
      </c>
      <c r="K12" s="85">
        <f>O11*'FNC-ORD_prospetto riassuntivo'!$B$28*Q12</f>
        <v>285.78294581700794</v>
      </c>
      <c r="L12" s="85">
        <f t="shared" si="1"/>
        <v>1439.7935511953895</v>
      </c>
      <c r="M12" s="85">
        <f t="shared" si="2"/>
        <v>1725.5764970123973</v>
      </c>
      <c r="N12" s="86">
        <f t="shared" si="3"/>
        <v>14263.979559031593</v>
      </c>
      <c r="O12" s="85">
        <f>('FNC-ORD_prospetto riassuntivo'!$B$11-N12)*Q12</f>
        <v>135736.02044096839</v>
      </c>
      <c r="P12" s="85">
        <f>K12/(1+SUM('FNC-ORD_prospetto riassuntivo'!$B$29:$B$30)/'FNC-ORD_prospetto riassuntivo'!$B$24)^J12</f>
        <v>275.39814422712374</v>
      </c>
      <c r="Q12">
        <f>IF(J12=0,0,IF(OR(J12&lt;'FNC-ORD_prospetto riassuntivo'!$B$23+'FNC-ORD_prospetto riassuntivo'!$B$26,J12='FNC-ORD_prospetto riassuntivo'!$B$23+'FNC-ORD_prospetto riassuntivo'!$B$26),1,0))</f>
        <v>1</v>
      </c>
    </row>
    <row r="13" spans="1:17" x14ac:dyDescent="0.25">
      <c r="A13" s="84">
        <f>IF(A12=0,0,IF('FNC-ORD_prospetto riassuntivo'!$B$23&gt;A12,A12+1,0))</f>
        <v>0</v>
      </c>
      <c r="B13" s="85">
        <f>'FNC-ORD_prospetto riassuntivo'!$B$11*'FNC-ORD_prospetto riassuntivo'!$B$27*H13</f>
        <v>0</v>
      </c>
      <c r="C13" s="85">
        <v>0</v>
      </c>
      <c r="D13" s="85">
        <f t="shared" si="0"/>
        <v>0</v>
      </c>
      <c r="E13" s="85">
        <v>0</v>
      </c>
      <c r="F13" s="85">
        <f>'FNC-ORD_prospetto riassuntivo'!$B$11</f>
        <v>150000</v>
      </c>
      <c r="G13" s="85">
        <f>B13/((1+IFERROR(SUM('FNC-ORD_prospetto riassuntivo'!$B$29,'FNC-ORD_prospetto riassuntivo'!$B$30)/'FNC-ORD_prospetto riassuntivo'!$B$21,0))^A13)</f>
        <v>0</v>
      </c>
      <c r="H13">
        <f>IF(A13=0,0,IF(OR(A13&lt;'FNC-ORD_prospetto riassuntivo'!$B$23,A13='FNC-ORD_prospetto riassuntivo'!$B$23),1,0))</f>
        <v>0</v>
      </c>
      <c r="J13" s="84">
        <f>IF(J12=0,0,IF('FNC-ORD_prospetto riassuntivo'!$B$23+'FNC-ORD_prospetto riassuntivo'!$B$26&gt;J12,J12+1,0))</f>
        <v>11</v>
      </c>
      <c r="K13" s="85">
        <f>O12*'FNC-ORD_prospetto riassuntivo'!$B$28*Q13</f>
        <v>282.78337591868416</v>
      </c>
      <c r="L13" s="85">
        <f t="shared" si="1"/>
        <v>1442.7931210937131</v>
      </c>
      <c r="M13" s="85">
        <f t="shared" si="2"/>
        <v>1725.5764970123973</v>
      </c>
      <c r="N13" s="86">
        <f t="shared" si="3"/>
        <v>15706.772680125307</v>
      </c>
      <c r="O13" s="85">
        <f>('FNC-ORD_prospetto riassuntivo'!$B$11-N13)*Q13</f>
        <v>134293.22731987468</v>
      </c>
      <c r="P13" s="85">
        <f>K13/(1+SUM('FNC-ORD_prospetto riassuntivo'!$B$29:$B$30)/'FNC-ORD_prospetto riassuntivo'!$B$24)^J13</f>
        <v>271.50075760971191</v>
      </c>
      <c r="Q13">
        <f>IF(J13=0,0,IF(OR(J13&lt;'FNC-ORD_prospetto riassuntivo'!$B$23+'FNC-ORD_prospetto riassuntivo'!$B$26,J13='FNC-ORD_prospetto riassuntivo'!$B$23+'FNC-ORD_prospetto riassuntivo'!$B$26),1,0))</f>
        <v>1</v>
      </c>
    </row>
    <row r="14" spans="1:17" x14ac:dyDescent="0.25">
      <c r="A14" s="84">
        <f>IF(A13=0,0,IF('FNC-ORD_prospetto riassuntivo'!$B$23&gt;A13,A13+1,0))</f>
        <v>0</v>
      </c>
      <c r="B14" s="85">
        <f>'FNC-ORD_prospetto riassuntivo'!$B$11*'FNC-ORD_prospetto riassuntivo'!$B$27*H14</f>
        <v>0</v>
      </c>
      <c r="C14" s="85">
        <v>0</v>
      </c>
      <c r="D14" s="85">
        <f t="shared" si="0"/>
        <v>0</v>
      </c>
      <c r="E14" s="85">
        <v>0</v>
      </c>
      <c r="F14" s="85">
        <f>'FNC-ORD_prospetto riassuntivo'!$B$11</f>
        <v>150000</v>
      </c>
      <c r="G14" s="85">
        <f>B14/((1+IFERROR(SUM('FNC-ORD_prospetto riassuntivo'!$B$29,'FNC-ORD_prospetto riassuntivo'!$B$30)/'FNC-ORD_prospetto riassuntivo'!$B$21,0))^A14)</f>
        <v>0</v>
      </c>
      <c r="H14">
        <f>IF(A14=0,0,IF(OR(A14&lt;'FNC-ORD_prospetto riassuntivo'!$B$23,A14='FNC-ORD_prospetto riassuntivo'!$B$23),1,0))</f>
        <v>0</v>
      </c>
      <c r="J14" s="84">
        <f>IF(J13=0,0,IF('FNC-ORD_prospetto riassuntivo'!$B$23+'FNC-ORD_prospetto riassuntivo'!$B$26&gt;J13,J13+1,0))</f>
        <v>12</v>
      </c>
      <c r="K14" s="85">
        <f>O13*'FNC-ORD_prospetto riassuntivo'!$B$28*Q14</f>
        <v>279.77755691640562</v>
      </c>
      <c r="L14" s="85">
        <f t="shared" si="1"/>
        <v>1445.7989400959918</v>
      </c>
      <c r="M14" s="85">
        <f t="shared" si="2"/>
        <v>1725.5764970123973</v>
      </c>
      <c r="N14" s="86">
        <f t="shared" si="3"/>
        <v>17152.571620221297</v>
      </c>
      <c r="O14" s="85">
        <f>('FNC-ORD_prospetto riassuntivo'!$B$11-N14)*Q14</f>
        <v>132847.42837977869</v>
      </c>
      <c r="P14" s="85">
        <f>K14/(1+SUM('FNC-ORD_prospetto riassuntivo'!$B$29:$B$30)/'FNC-ORD_prospetto riassuntivo'!$B$24)^J14</f>
        <v>267.62243293698941</v>
      </c>
      <c r="Q14">
        <f>IF(J14=0,0,IF(OR(J14&lt;'FNC-ORD_prospetto riassuntivo'!$B$23+'FNC-ORD_prospetto riassuntivo'!$B$26,J14='FNC-ORD_prospetto riassuntivo'!$B$23+'FNC-ORD_prospetto riassuntivo'!$B$26),1,0))</f>
        <v>1</v>
      </c>
    </row>
    <row r="15" spans="1:17" x14ac:dyDescent="0.25">
      <c r="A15" s="84">
        <f>IF(A14=0,0,IF('FNC-ORD_prospetto riassuntivo'!$B$23&gt;A14,A14+1,0))</f>
        <v>0</v>
      </c>
      <c r="B15" s="85">
        <f>'FNC-ORD_prospetto riassuntivo'!$B$11*'FNC-ORD_prospetto riassuntivo'!$B$27*H15</f>
        <v>0</v>
      </c>
      <c r="C15" s="85">
        <v>0</v>
      </c>
      <c r="D15" s="85">
        <f t="shared" si="0"/>
        <v>0</v>
      </c>
      <c r="E15" s="85">
        <v>0</v>
      </c>
      <c r="F15" s="85">
        <f>'FNC-ORD_prospetto riassuntivo'!$B$11</f>
        <v>150000</v>
      </c>
      <c r="G15" s="85">
        <f>B15/((1+IFERROR(SUM('FNC-ORD_prospetto riassuntivo'!$B$29,'FNC-ORD_prospetto riassuntivo'!$B$30)/'FNC-ORD_prospetto riassuntivo'!$B$21,0))^A15)</f>
        <v>0</v>
      </c>
      <c r="H15">
        <f>IF(A15=0,0,IF(OR(A15&lt;'FNC-ORD_prospetto riassuntivo'!$B$23,A15='FNC-ORD_prospetto riassuntivo'!$B$23),1,0))</f>
        <v>0</v>
      </c>
      <c r="J15" s="84">
        <f>IF(J14=0,0,IF('FNC-ORD_prospetto riassuntivo'!$B$23+'FNC-ORD_prospetto riassuntivo'!$B$26&gt;J14,J14+1,0))</f>
        <v>13</v>
      </c>
      <c r="K15" s="85">
        <f>O14*'FNC-ORD_prospetto riassuntivo'!$B$28*Q15</f>
        <v>276.76547579120563</v>
      </c>
      <c r="L15" s="85">
        <f t="shared" si="1"/>
        <v>1448.8110212211918</v>
      </c>
      <c r="M15" s="85">
        <f t="shared" si="2"/>
        <v>1725.5764970123973</v>
      </c>
      <c r="N15" s="86">
        <f t="shared" si="3"/>
        <v>18601.382641442488</v>
      </c>
      <c r="O15" s="85">
        <f>('FNC-ORD_prospetto riassuntivo'!$B$11-N15)*Q15</f>
        <v>131398.6173585575</v>
      </c>
      <c r="P15" s="85">
        <f>K15/(1+SUM('FNC-ORD_prospetto riassuntivo'!$B$29:$B$30)/'FNC-ORD_prospetto riassuntivo'!$B$24)^J15</f>
        <v>263.76309223345316</v>
      </c>
      <c r="Q15">
        <f>IF(J15=0,0,IF(OR(J15&lt;'FNC-ORD_prospetto riassuntivo'!$B$23+'FNC-ORD_prospetto riassuntivo'!$B$26,J15='FNC-ORD_prospetto riassuntivo'!$B$23+'FNC-ORD_prospetto riassuntivo'!$B$26),1,0))</f>
        <v>1</v>
      </c>
    </row>
    <row r="16" spans="1:17" x14ac:dyDescent="0.25">
      <c r="A16" s="84">
        <f>IF(A15=0,0,IF('FNC-ORD_prospetto riassuntivo'!$B$23&gt;A15,A15+1,0))</f>
        <v>0</v>
      </c>
      <c r="B16" s="85">
        <f>'FNC-ORD_prospetto riassuntivo'!$B$11*'FNC-ORD_prospetto riassuntivo'!$B$27*H16</f>
        <v>0</v>
      </c>
      <c r="C16" s="85">
        <v>0</v>
      </c>
      <c r="D16" s="85">
        <f t="shared" si="0"/>
        <v>0</v>
      </c>
      <c r="E16" s="85">
        <v>0</v>
      </c>
      <c r="F16" s="85">
        <f>'FNC-ORD_prospetto riassuntivo'!$B$11</f>
        <v>150000</v>
      </c>
      <c r="G16" s="85">
        <f>B16/((1+IFERROR(SUM('FNC-ORD_prospetto riassuntivo'!$B$29,'FNC-ORD_prospetto riassuntivo'!$B$30)/'FNC-ORD_prospetto riassuntivo'!$B$21,0))^A16)</f>
        <v>0</v>
      </c>
      <c r="H16">
        <f>IF(A16=0,0,IF(OR(A16&lt;'FNC-ORD_prospetto riassuntivo'!$B$23,A16='FNC-ORD_prospetto riassuntivo'!$B$23),1,0))</f>
        <v>0</v>
      </c>
      <c r="J16" s="84">
        <f>IF(J15=0,0,IF('FNC-ORD_prospetto riassuntivo'!$B$23+'FNC-ORD_prospetto riassuntivo'!$B$26&gt;J15,J15+1,0))</f>
        <v>14</v>
      </c>
      <c r="K16" s="85">
        <f>O15*'FNC-ORD_prospetto riassuntivo'!$B$28*Q16</f>
        <v>273.7471194969948</v>
      </c>
      <c r="L16" s="85">
        <f t="shared" si="1"/>
        <v>1451.8293775154025</v>
      </c>
      <c r="M16" s="85">
        <f t="shared" si="2"/>
        <v>1725.5764970123973</v>
      </c>
      <c r="N16" s="86">
        <f t="shared" si="3"/>
        <v>20053.212018957889</v>
      </c>
      <c r="O16" s="85">
        <f>('FNC-ORD_prospetto riassuntivo'!$B$11-N16)*Q16</f>
        <v>129946.78798104211</v>
      </c>
      <c r="P16" s="85">
        <f>K16/(1+SUM('FNC-ORD_prospetto riassuntivo'!$B$29:$B$30)/'FNC-ORD_prospetto riassuntivo'!$B$24)^J16</f>
        <v>259.92265782391189</v>
      </c>
      <c r="Q16">
        <f>IF(J16=0,0,IF(OR(J16&lt;'FNC-ORD_prospetto riassuntivo'!$B$23+'FNC-ORD_prospetto riassuntivo'!$B$26,J16='FNC-ORD_prospetto riassuntivo'!$B$23+'FNC-ORD_prospetto riassuntivo'!$B$26),1,0))</f>
        <v>1</v>
      </c>
    </row>
    <row r="17" spans="1:17" x14ac:dyDescent="0.25">
      <c r="A17" s="84">
        <f>IF(A16=0,0,IF('FNC-ORD_prospetto riassuntivo'!$B$23&gt;A16,A16+1,0))</f>
        <v>0</v>
      </c>
      <c r="B17" s="85">
        <f>'FNC-ORD_prospetto riassuntivo'!$B$11*'FNC-ORD_prospetto riassuntivo'!$B$27*H17</f>
        <v>0</v>
      </c>
      <c r="C17" s="85">
        <v>0</v>
      </c>
      <c r="D17" s="85">
        <f t="shared" si="0"/>
        <v>0</v>
      </c>
      <c r="E17" s="85">
        <v>0</v>
      </c>
      <c r="F17" s="85">
        <f>'FNC-ORD_prospetto riassuntivo'!$B$11</f>
        <v>150000</v>
      </c>
      <c r="G17" s="85">
        <f>B17/((1+IFERROR(SUM('FNC-ORD_prospetto riassuntivo'!$B$29,'FNC-ORD_prospetto riassuntivo'!$B$30)/'FNC-ORD_prospetto riassuntivo'!$B$21,0))^A17)</f>
        <v>0</v>
      </c>
      <c r="H17">
        <f>IF(A17=0,0,IF(OR(A17&lt;'FNC-ORD_prospetto riassuntivo'!$B$23,A17='FNC-ORD_prospetto riassuntivo'!$B$23),1,0))</f>
        <v>0</v>
      </c>
      <c r="J17" s="84">
        <f>IF(J16=0,0,IF('FNC-ORD_prospetto riassuntivo'!$B$23+'FNC-ORD_prospetto riassuntivo'!$B$26&gt;J16,J16+1,0))</f>
        <v>15</v>
      </c>
      <c r="K17" s="85">
        <f>O16*'FNC-ORD_prospetto riassuntivo'!$B$28*Q17</f>
        <v>270.72247496050443</v>
      </c>
      <c r="L17" s="85">
        <f t="shared" si="1"/>
        <v>1454.854022051893</v>
      </c>
      <c r="M17" s="85">
        <f t="shared" si="2"/>
        <v>1725.5764970123973</v>
      </c>
      <c r="N17" s="86">
        <f t="shared" si="3"/>
        <v>21508.066041009781</v>
      </c>
      <c r="O17" s="85">
        <f>('FNC-ORD_prospetto riassuntivo'!$B$11-N17)*Q17</f>
        <v>128491.93395899022</v>
      </c>
      <c r="P17" s="85">
        <f>K17/(1+SUM('FNC-ORD_prospetto riassuntivo'!$B$29:$B$30)/'FNC-ORD_prospetto riassuntivo'!$B$24)^J17</f>
        <v>256.1010523323572</v>
      </c>
      <c r="Q17">
        <f>IF(J17=0,0,IF(OR(J17&lt;'FNC-ORD_prospetto riassuntivo'!$B$23+'FNC-ORD_prospetto riassuntivo'!$B$26,J17='FNC-ORD_prospetto riassuntivo'!$B$23+'FNC-ORD_prospetto riassuntivo'!$B$26),1,0))</f>
        <v>1</v>
      </c>
    </row>
    <row r="18" spans="1:17" x14ac:dyDescent="0.25">
      <c r="A18" s="84">
        <f>IF(A17=0,0,IF('FNC-ORD_prospetto riassuntivo'!$B$23&gt;A17,A17+1,0))</f>
        <v>0</v>
      </c>
      <c r="B18" s="85">
        <f>'FNC-ORD_prospetto riassuntivo'!$B$11*'FNC-ORD_prospetto riassuntivo'!$B$27*H18</f>
        <v>0</v>
      </c>
      <c r="C18" s="85">
        <v>0</v>
      </c>
      <c r="D18" s="85">
        <f t="shared" si="0"/>
        <v>0</v>
      </c>
      <c r="E18" s="85">
        <v>0</v>
      </c>
      <c r="F18" s="85">
        <f>'FNC-ORD_prospetto riassuntivo'!$B$11</f>
        <v>150000</v>
      </c>
      <c r="G18" s="85">
        <f>B18/((1+IFERROR(SUM('FNC-ORD_prospetto riassuntivo'!$B$29,'FNC-ORD_prospetto riassuntivo'!$B$30)/'FNC-ORD_prospetto riassuntivo'!$B$21,0))^A18)</f>
        <v>0</v>
      </c>
      <c r="H18">
        <f>IF(A18=0,0,IF(OR(A18&lt;'FNC-ORD_prospetto riassuntivo'!$B$23,A18='FNC-ORD_prospetto riassuntivo'!$B$23),1,0))</f>
        <v>0</v>
      </c>
      <c r="J18" s="84">
        <f>IF(J17=0,0,IF('FNC-ORD_prospetto riassuntivo'!$B$23+'FNC-ORD_prospetto riassuntivo'!$B$26&gt;J17,J17+1,0))</f>
        <v>16</v>
      </c>
      <c r="K18" s="85">
        <f>O17*'FNC-ORD_prospetto riassuntivo'!$B$28*Q18</f>
        <v>267.69152908122965</v>
      </c>
      <c r="L18" s="85">
        <f t="shared" si="1"/>
        <v>1457.8849679311677</v>
      </c>
      <c r="M18" s="85">
        <f t="shared" si="2"/>
        <v>1725.5764970123973</v>
      </c>
      <c r="N18" s="86">
        <f t="shared" si="3"/>
        <v>22965.951008940949</v>
      </c>
      <c r="O18" s="85">
        <f>('FNC-ORD_prospetto riassuntivo'!$B$11-N18)*Q18</f>
        <v>127034.04899105905</v>
      </c>
      <c r="P18" s="85">
        <f>K18/(1+SUM('FNC-ORD_prospetto riassuntivo'!$B$29:$B$30)/'FNC-ORD_prospetto riassuntivo'!$B$24)^J18</f>
        <v>252.2981986808382</v>
      </c>
      <c r="Q18">
        <f>IF(J18=0,0,IF(OR(J18&lt;'FNC-ORD_prospetto riassuntivo'!$B$23+'FNC-ORD_prospetto riassuntivo'!$B$26,J18='FNC-ORD_prospetto riassuntivo'!$B$23+'FNC-ORD_prospetto riassuntivo'!$B$26),1,0))</f>
        <v>1</v>
      </c>
    </row>
    <row r="19" spans="1:17" x14ac:dyDescent="0.25">
      <c r="A19" s="84">
        <f>IF(A18=0,0,IF('FNC-ORD_prospetto riassuntivo'!$B$23&gt;A18,A18+1,0))</f>
        <v>0</v>
      </c>
      <c r="B19" s="85">
        <f>'FNC-ORD_prospetto riassuntivo'!$B$11*'FNC-ORD_prospetto riassuntivo'!$B$27*H19</f>
        <v>0</v>
      </c>
      <c r="C19" s="85">
        <v>0</v>
      </c>
      <c r="D19" s="85">
        <f t="shared" si="0"/>
        <v>0</v>
      </c>
      <c r="E19" s="85">
        <v>0</v>
      </c>
      <c r="F19" s="85">
        <f>'FNC-ORD_prospetto riassuntivo'!$B$11</f>
        <v>150000</v>
      </c>
      <c r="G19" s="85">
        <f>B19/((1+IFERROR(SUM('FNC-ORD_prospetto riassuntivo'!$B$29,'FNC-ORD_prospetto riassuntivo'!$B$30)/'FNC-ORD_prospetto riassuntivo'!$B$21,0))^A19)</f>
        <v>0</v>
      </c>
      <c r="H19">
        <f>IF(A19=0,0,IF(OR(A19&lt;'FNC-ORD_prospetto riassuntivo'!$B$23,A19='FNC-ORD_prospetto riassuntivo'!$B$23),1,0))</f>
        <v>0</v>
      </c>
      <c r="J19" s="84">
        <f>IF(J18=0,0,IF('FNC-ORD_prospetto riassuntivo'!$B$23+'FNC-ORD_prospetto riassuntivo'!$B$26&gt;J18,J18+1,0))</f>
        <v>17</v>
      </c>
      <c r="K19" s="85">
        <f>O18*'FNC-ORD_prospetto riassuntivo'!$B$28*Q19</f>
        <v>264.65426873137301</v>
      </c>
      <c r="L19" s="85">
        <f t="shared" si="1"/>
        <v>1460.9222282810242</v>
      </c>
      <c r="M19" s="85">
        <f t="shared" si="2"/>
        <v>1725.5764970123973</v>
      </c>
      <c r="N19" s="86">
        <f t="shared" si="3"/>
        <v>24426.873237221975</v>
      </c>
      <c r="O19" s="85">
        <f>('FNC-ORD_prospetto riassuntivo'!$B$11-N19)*Q19</f>
        <v>125573.12676277803</v>
      </c>
      <c r="P19" s="85">
        <f>K19/(1+SUM('FNC-ORD_prospetto riassuntivo'!$B$29:$B$30)/'FNC-ORD_prospetto riassuntivo'!$B$24)^J19</f>
        <v>248.5140200883406</v>
      </c>
      <c r="Q19">
        <f>IF(J19=0,0,IF(OR(J19&lt;'FNC-ORD_prospetto riassuntivo'!$B$23+'FNC-ORD_prospetto riassuntivo'!$B$26,J19='FNC-ORD_prospetto riassuntivo'!$B$23+'FNC-ORD_prospetto riassuntivo'!$B$26),1,0))</f>
        <v>1</v>
      </c>
    </row>
    <row r="20" spans="1:17" x14ac:dyDescent="0.25">
      <c r="A20" s="84">
        <f>IF(A19=0,0,IF('FNC-ORD_prospetto riassuntivo'!$B$23&gt;A19,A19+1,0))</f>
        <v>0</v>
      </c>
      <c r="B20" s="85">
        <f>'FNC-ORD_prospetto riassuntivo'!$B$11*'FNC-ORD_prospetto riassuntivo'!$B$27*H20</f>
        <v>0</v>
      </c>
      <c r="C20" s="85">
        <v>0</v>
      </c>
      <c r="D20" s="85">
        <f t="shared" si="0"/>
        <v>0</v>
      </c>
      <c r="E20" s="85">
        <v>0</v>
      </c>
      <c r="F20" s="85">
        <f>'FNC-ORD_prospetto riassuntivo'!$B$11</f>
        <v>150000</v>
      </c>
      <c r="G20" s="85">
        <f>B20/((1+IFERROR(SUM('FNC-ORD_prospetto riassuntivo'!$B$29,'FNC-ORD_prospetto riassuntivo'!$B$30)/'FNC-ORD_prospetto riassuntivo'!$B$21,0))^A20)</f>
        <v>0</v>
      </c>
      <c r="H20">
        <f>IF(A20=0,0,IF(OR(A20&lt;'FNC-ORD_prospetto riassuntivo'!$B$23,A20='FNC-ORD_prospetto riassuntivo'!$B$23),1,0))</f>
        <v>0</v>
      </c>
      <c r="J20" s="84">
        <f>IF(J19=0,0,IF('FNC-ORD_prospetto riassuntivo'!$B$23+'FNC-ORD_prospetto riassuntivo'!$B$26&gt;J19,J19+1,0))</f>
        <v>18</v>
      </c>
      <c r="K20" s="85">
        <f>O19*'FNC-ORD_prospetto riassuntivo'!$B$28*Q20</f>
        <v>261.61068075578754</v>
      </c>
      <c r="L20" s="85">
        <f t="shared" si="1"/>
        <v>1463.9658162566097</v>
      </c>
      <c r="M20" s="85">
        <f t="shared" si="2"/>
        <v>1725.5764970123973</v>
      </c>
      <c r="N20" s="86">
        <f t="shared" si="3"/>
        <v>25890.839053478583</v>
      </c>
      <c r="O20" s="85">
        <f>('FNC-ORD_prospetto riassuntivo'!$B$11-N20)*Q20</f>
        <v>124109.16094652141</v>
      </c>
      <c r="P20" s="85">
        <f>K20/(1+SUM('FNC-ORD_prospetto riassuntivo'!$B$29:$B$30)/'FNC-ORD_prospetto riassuntivo'!$B$24)^J20</f>
        <v>244.74844006966998</v>
      </c>
      <c r="Q20">
        <f>IF(J20=0,0,IF(OR(J20&lt;'FNC-ORD_prospetto riassuntivo'!$B$23+'FNC-ORD_prospetto riassuntivo'!$B$26,J20='FNC-ORD_prospetto riassuntivo'!$B$23+'FNC-ORD_prospetto riassuntivo'!$B$26),1,0))</f>
        <v>1</v>
      </c>
    </row>
    <row r="21" spans="1:17" x14ac:dyDescent="0.25">
      <c r="A21" s="84">
        <f>IF(A20=0,0,IF('FNC-ORD_prospetto riassuntivo'!$B$23&gt;A20,A20+1,0))</f>
        <v>0</v>
      </c>
      <c r="B21" s="85">
        <f>'FNC-ORD_prospetto riassuntivo'!$B$11*'FNC-ORD_prospetto riassuntivo'!$B$27*H21</f>
        <v>0</v>
      </c>
      <c r="C21" s="85">
        <v>0</v>
      </c>
      <c r="D21" s="85">
        <f t="shared" si="0"/>
        <v>0</v>
      </c>
      <c r="E21" s="85">
        <v>0</v>
      </c>
      <c r="F21" s="85">
        <f>'FNC-ORD_prospetto riassuntivo'!$B$11</f>
        <v>150000</v>
      </c>
      <c r="G21" s="85">
        <f>B21/((1+IFERROR(SUM('FNC-ORD_prospetto riassuntivo'!$B$29,'FNC-ORD_prospetto riassuntivo'!$B$30)/'FNC-ORD_prospetto riassuntivo'!$B$21,0))^A21)</f>
        <v>0</v>
      </c>
      <c r="H21">
        <f>IF(A21=0,0,IF(OR(A21&lt;'FNC-ORD_prospetto riassuntivo'!$B$23,A21='FNC-ORD_prospetto riassuntivo'!$B$23),1,0))</f>
        <v>0</v>
      </c>
      <c r="J21" s="84">
        <f>IF(J20=0,0,IF('FNC-ORD_prospetto riassuntivo'!$B$23+'FNC-ORD_prospetto riassuntivo'!$B$26&gt;J20,J20+1,0))</f>
        <v>19</v>
      </c>
      <c r="K21" s="85">
        <f>O20*'FNC-ORD_prospetto riassuntivo'!$B$28*Q21</f>
        <v>258.56075197191961</v>
      </c>
      <c r="L21" s="85">
        <f t="shared" si="1"/>
        <v>1467.0157450404777</v>
      </c>
      <c r="M21" s="85">
        <f t="shared" si="2"/>
        <v>1725.5764970123973</v>
      </c>
      <c r="N21" s="86">
        <f t="shared" si="3"/>
        <v>27357.85479851906</v>
      </c>
      <c r="O21" s="85">
        <f>('FNC-ORD_prospetto riassuntivo'!$B$11-N21)*Q21</f>
        <v>122642.14520148095</v>
      </c>
      <c r="P21" s="85">
        <f>K21/(1+SUM('FNC-ORD_prospetto riassuntivo'!$B$29:$B$30)/'FNC-ORD_prospetto riassuntivo'!$B$24)^J21</f>
        <v>241.00138243433935</v>
      </c>
      <c r="Q21">
        <f>IF(J21=0,0,IF(OR(J21&lt;'FNC-ORD_prospetto riassuntivo'!$B$23+'FNC-ORD_prospetto riassuntivo'!$B$26,J21='FNC-ORD_prospetto riassuntivo'!$B$23+'FNC-ORD_prospetto riassuntivo'!$B$26),1,0))</f>
        <v>1</v>
      </c>
    </row>
    <row r="22" spans="1:17" x14ac:dyDescent="0.25">
      <c r="A22" s="84">
        <f>IF(A21=0,0,IF('FNC-ORD_prospetto riassuntivo'!$B$23&gt;A21,A21+1,0))</f>
        <v>0</v>
      </c>
      <c r="B22" s="85">
        <f>'FNC-ORD_prospetto riassuntivo'!$B$11*'FNC-ORD_prospetto riassuntivo'!$B$27*H22</f>
        <v>0</v>
      </c>
      <c r="C22" s="85">
        <v>0</v>
      </c>
      <c r="D22" s="85">
        <f t="shared" si="0"/>
        <v>0</v>
      </c>
      <c r="E22" s="85">
        <v>0</v>
      </c>
      <c r="F22" s="85">
        <f>'FNC-ORD_prospetto riassuntivo'!$B$11</f>
        <v>150000</v>
      </c>
      <c r="G22" s="85">
        <f>B22/((1+IFERROR(SUM('FNC-ORD_prospetto riassuntivo'!$B$29,'FNC-ORD_prospetto riassuntivo'!$B$30)/'FNC-ORD_prospetto riassuntivo'!$B$21,0))^A22)</f>
        <v>0</v>
      </c>
      <c r="H22">
        <f>IF(A22=0,0,IF(OR(A22&lt;'FNC-ORD_prospetto riassuntivo'!$B$23,A22='FNC-ORD_prospetto riassuntivo'!$B$23),1,0))</f>
        <v>0</v>
      </c>
      <c r="J22" s="84">
        <f>IF(J21=0,0,IF('FNC-ORD_prospetto riassuntivo'!$B$23+'FNC-ORD_prospetto riassuntivo'!$B$26&gt;J21,J21+1,0))</f>
        <v>20</v>
      </c>
      <c r="K22" s="85">
        <f>O21*'FNC-ORD_prospetto riassuntivo'!$B$28*Q22</f>
        <v>255.50446916975196</v>
      </c>
      <c r="L22" s="85">
        <f t="shared" si="1"/>
        <v>1470.0720278426454</v>
      </c>
      <c r="M22" s="85">
        <f t="shared" si="2"/>
        <v>1725.5764970123973</v>
      </c>
      <c r="N22" s="86">
        <f t="shared" si="3"/>
        <v>28827.926826361705</v>
      </c>
      <c r="O22" s="85">
        <f>('FNC-ORD_prospetto riassuntivo'!$B$11-N22)*Q22</f>
        <v>121172.07317363829</v>
      </c>
      <c r="P22" s="85">
        <f>K22/(1+SUM('FNC-ORD_prospetto riassuntivo'!$B$29:$B$30)/'FNC-ORD_prospetto riassuntivo'!$B$24)^J22</f>
        <v>237.27277128546018</v>
      </c>
      <c r="Q22">
        <f>IF(J22=0,0,IF(OR(J22&lt;'FNC-ORD_prospetto riassuntivo'!$B$23+'FNC-ORD_prospetto riassuntivo'!$B$26,J22='FNC-ORD_prospetto riassuntivo'!$B$23+'FNC-ORD_prospetto riassuntivo'!$B$26),1,0))</f>
        <v>1</v>
      </c>
    </row>
    <row r="23" spans="1:17" x14ac:dyDescent="0.25">
      <c r="A23" s="84">
        <f>IF(A22=0,0,IF('FNC-ORD_prospetto riassuntivo'!$B$23&gt;A22,A22+1,0))</f>
        <v>0</v>
      </c>
      <c r="B23" s="85">
        <f>'FNC-ORD_prospetto riassuntivo'!$B$11*'FNC-ORD_prospetto riassuntivo'!$B$27*H23</f>
        <v>0</v>
      </c>
      <c r="C23" s="85">
        <v>0</v>
      </c>
      <c r="D23" s="85">
        <f t="shared" si="0"/>
        <v>0</v>
      </c>
      <c r="E23" s="85">
        <v>0</v>
      </c>
      <c r="F23" s="85">
        <f>'FNC-ORD_prospetto riassuntivo'!$B$11</f>
        <v>150000</v>
      </c>
      <c r="G23" s="85">
        <f>B23/((1+IFERROR(SUM('FNC-ORD_prospetto riassuntivo'!$B$29,'FNC-ORD_prospetto riassuntivo'!$B$30)/'FNC-ORD_prospetto riassuntivo'!$B$21,0))^A23)</f>
        <v>0</v>
      </c>
      <c r="H23">
        <f>IF(A23=0,0,IF(OR(A23&lt;'FNC-ORD_prospetto riassuntivo'!$B$23,A23='FNC-ORD_prospetto riassuntivo'!$B$23),1,0))</f>
        <v>0</v>
      </c>
      <c r="J23" s="84">
        <f>IF(J22=0,0,IF('FNC-ORD_prospetto riassuntivo'!$B$23+'FNC-ORD_prospetto riassuntivo'!$B$26&gt;J22,J22+1,0))</f>
        <v>21</v>
      </c>
      <c r="K23" s="85">
        <f>O22*'FNC-ORD_prospetto riassuntivo'!$B$28*Q23</f>
        <v>252.44181911174644</v>
      </c>
      <c r="L23" s="85">
        <f t="shared" si="1"/>
        <v>1473.1346779006508</v>
      </c>
      <c r="M23" s="85">
        <f t="shared" si="2"/>
        <v>1725.5764970123973</v>
      </c>
      <c r="N23" s="86">
        <f t="shared" si="3"/>
        <v>30301.061504262354</v>
      </c>
      <c r="O23" s="85">
        <f>('FNC-ORD_prospetto riassuntivo'!$B$11-N23)*Q23</f>
        <v>119698.93849573765</v>
      </c>
      <c r="P23" s="85">
        <f>K23/(1+SUM('FNC-ORD_prospetto riassuntivo'!$B$29:$B$30)/'FNC-ORD_prospetto riassuntivo'!$B$24)^J23</f>
        <v>233.56253101863871</v>
      </c>
      <c r="Q23">
        <f>IF(J23=0,0,IF(OR(J23&lt;'FNC-ORD_prospetto riassuntivo'!$B$23+'FNC-ORD_prospetto riassuntivo'!$B$26,J23='FNC-ORD_prospetto riassuntivo'!$B$23+'FNC-ORD_prospetto riassuntivo'!$B$26),1,0))</f>
        <v>1</v>
      </c>
    </row>
    <row r="24" spans="1:17" x14ac:dyDescent="0.25">
      <c r="A24" s="84">
        <f>IF(A23=0,0,IF('FNC-ORD_prospetto riassuntivo'!$B$23&gt;A23,A23+1,0))</f>
        <v>0</v>
      </c>
      <c r="B24" s="85">
        <f>'FNC-ORD_prospetto riassuntivo'!$B$11*'FNC-ORD_prospetto riassuntivo'!$B$27*H24</f>
        <v>0</v>
      </c>
      <c r="C24" s="85">
        <v>0</v>
      </c>
      <c r="D24" s="85">
        <f t="shared" si="0"/>
        <v>0</v>
      </c>
      <c r="E24" s="85">
        <v>0</v>
      </c>
      <c r="F24" s="85">
        <f>'FNC-ORD_prospetto riassuntivo'!$B$11</f>
        <v>150000</v>
      </c>
      <c r="G24" s="85">
        <f>B24/((1+IFERROR(SUM('FNC-ORD_prospetto riassuntivo'!$B$29,'FNC-ORD_prospetto riassuntivo'!$B$30)/'FNC-ORD_prospetto riassuntivo'!$B$21,0))^A24)</f>
        <v>0</v>
      </c>
      <c r="H24">
        <f>IF(A24=0,0,IF(OR(A24&lt;'FNC-ORD_prospetto riassuntivo'!$B$23,A24='FNC-ORD_prospetto riassuntivo'!$B$23),1,0))</f>
        <v>0</v>
      </c>
      <c r="J24" s="84">
        <f>IF(J23=0,0,IF('FNC-ORD_prospetto riassuntivo'!$B$23+'FNC-ORD_prospetto riassuntivo'!$B$26&gt;J23,J23+1,0))</f>
        <v>22</v>
      </c>
      <c r="K24" s="85">
        <f>O23*'FNC-ORD_prospetto riassuntivo'!$B$28*Q24</f>
        <v>249.37278853278676</v>
      </c>
      <c r="L24" s="85">
        <f t="shared" si="1"/>
        <v>1476.2037084796107</v>
      </c>
      <c r="M24" s="85">
        <f t="shared" si="2"/>
        <v>1725.5764970123973</v>
      </c>
      <c r="N24" s="86">
        <f t="shared" si="3"/>
        <v>31777.265212741964</v>
      </c>
      <c r="O24" s="85">
        <f>('FNC-ORD_prospetto riassuntivo'!$B$11-N24)*Q24</f>
        <v>118222.73478725803</v>
      </c>
      <c r="P24" s="85">
        <f>K24/(1+SUM('FNC-ORD_prospetto riassuntivo'!$B$29:$B$30)/'FNC-ORD_prospetto riassuntivo'!$B$24)^J24</f>
        <v>229.87058632087536</v>
      </c>
      <c r="Q24">
        <f>IF(J24=0,0,IF(OR(J24&lt;'FNC-ORD_prospetto riassuntivo'!$B$23+'FNC-ORD_prospetto riassuntivo'!$B$26,J24='FNC-ORD_prospetto riassuntivo'!$B$23+'FNC-ORD_prospetto riassuntivo'!$B$26),1,0))</f>
        <v>1</v>
      </c>
    </row>
    <row r="25" spans="1:17" x14ac:dyDescent="0.25">
      <c r="A25" s="84">
        <f>IF(A24=0,0,IF('FNC-ORD_prospetto riassuntivo'!$B$23&gt;A24,A24+1,0))</f>
        <v>0</v>
      </c>
      <c r="B25" s="85">
        <f>'FNC-ORD_prospetto riassuntivo'!$B$11*'FNC-ORD_prospetto riassuntivo'!$B$27*H25</f>
        <v>0</v>
      </c>
      <c r="C25" s="85">
        <v>0</v>
      </c>
      <c r="D25" s="85">
        <f t="shared" si="0"/>
        <v>0</v>
      </c>
      <c r="E25" s="85">
        <v>0</v>
      </c>
      <c r="F25" s="85">
        <f>'FNC-ORD_prospetto riassuntivo'!$B$11</f>
        <v>150000</v>
      </c>
      <c r="G25" s="85">
        <f>B25/((1+IFERROR(SUM('FNC-ORD_prospetto riassuntivo'!$B$29,'FNC-ORD_prospetto riassuntivo'!$B$30)/'FNC-ORD_prospetto riassuntivo'!$B$21,0))^A25)</f>
        <v>0</v>
      </c>
      <c r="H25">
        <f>IF(A25=0,0,IF(OR(A25&lt;'FNC-ORD_prospetto riassuntivo'!$B$23,A25='FNC-ORD_prospetto riassuntivo'!$B$23),1,0))</f>
        <v>0</v>
      </c>
      <c r="J25" s="84">
        <f>IF(J24=0,0,IF('FNC-ORD_prospetto riassuntivo'!$B$23+'FNC-ORD_prospetto riassuntivo'!$B$26&gt;J24,J24+1,0))</f>
        <v>23</v>
      </c>
      <c r="K25" s="85">
        <f>O24*'FNC-ORD_prospetto riassuntivo'!$B$28*Q25</f>
        <v>246.29736414012089</v>
      </c>
      <c r="L25" s="85">
        <f t="shared" si="1"/>
        <v>1479.2791328722765</v>
      </c>
      <c r="M25" s="85">
        <f t="shared" si="2"/>
        <v>1725.5764970123973</v>
      </c>
      <c r="N25" s="86">
        <f t="shared" si="3"/>
        <v>33256.544345614238</v>
      </c>
      <c r="O25" s="85">
        <f>('FNC-ORD_prospetto riassuntivo'!$B$11-N25)*Q25</f>
        <v>116743.45565438576</v>
      </c>
      <c r="P25" s="85">
        <f>K25/(1+SUM('FNC-ORD_prospetto riassuntivo'!$B$29:$B$30)/'FNC-ORD_prospetto riassuntivo'!$B$24)^J25</f>
        <v>226.19686216946855</v>
      </c>
      <c r="Q25">
        <f>IF(J25=0,0,IF(OR(J25&lt;'FNC-ORD_prospetto riassuntivo'!$B$23+'FNC-ORD_prospetto riassuntivo'!$B$26,J25='FNC-ORD_prospetto riassuntivo'!$B$23+'FNC-ORD_prospetto riassuntivo'!$B$26),1,0))</f>
        <v>1</v>
      </c>
    </row>
    <row r="26" spans="1:17" x14ac:dyDescent="0.25">
      <c r="A26" s="84">
        <f>IF(A25=0,0,IF('FNC-ORD_prospetto riassuntivo'!$B$23&gt;A25,A25+1,0))</f>
        <v>0</v>
      </c>
      <c r="B26" s="85">
        <f>'FNC-ORD_prospetto riassuntivo'!$B$11*'FNC-ORD_prospetto riassuntivo'!$B$27*H26</f>
        <v>0</v>
      </c>
      <c r="C26" s="85">
        <v>0</v>
      </c>
      <c r="D26" s="85">
        <f t="shared" si="0"/>
        <v>0</v>
      </c>
      <c r="E26" s="85">
        <v>0</v>
      </c>
      <c r="F26" s="85">
        <f>'FNC-ORD_prospetto riassuntivo'!$B$11</f>
        <v>150000</v>
      </c>
      <c r="G26" s="85">
        <f>B26/((1+IFERROR(SUM('FNC-ORD_prospetto riassuntivo'!$B$29,'FNC-ORD_prospetto riassuntivo'!$B$30)/'FNC-ORD_prospetto riassuntivo'!$B$21,0))^A26)</f>
        <v>0</v>
      </c>
      <c r="H26">
        <f>IF(A26=0,0,IF(OR(A26&lt;'FNC-ORD_prospetto riassuntivo'!$B$23,A26='FNC-ORD_prospetto riassuntivo'!$B$23),1,0))</f>
        <v>0</v>
      </c>
      <c r="J26" s="84">
        <f>IF(J25=0,0,IF('FNC-ORD_prospetto riassuntivo'!$B$23+'FNC-ORD_prospetto riassuntivo'!$B$26&gt;J25,J25+1,0))</f>
        <v>24</v>
      </c>
      <c r="K26" s="85">
        <f>O25*'FNC-ORD_prospetto riassuntivo'!$B$28*Q26</f>
        <v>243.21553261330368</v>
      </c>
      <c r="L26" s="85">
        <f t="shared" si="1"/>
        <v>1482.3609643990937</v>
      </c>
      <c r="M26" s="85">
        <f t="shared" si="2"/>
        <v>1725.5764970123973</v>
      </c>
      <c r="N26" s="86">
        <f t="shared" si="3"/>
        <v>34738.905310013331</v>
      </c>
      <c r="O26" s="85">
        <f>('FNC-ORD_prospetto riassuntivo'!$B$11-N26)*Q26</f>
        <v>115261.09468998667</v>
      </c>
      <c r="P26" s="85">
        <f>K26/(1+SUM('FNC-ORD_prospetto riassuntivo'!$B$29:$B$30)/'FNC-ORD_prospetto riassuntivo'!$B$24)^J26</f>
        <v>222.54128383092291</v>
      </c>
      <c r="Q26">
        <f>IF(J26=0,0,IF(OR(J26&lt;'FNC-ORD_prospetto riassuntivo'!$B$23+'FNC-ORD_prospetto riassuntivo'!$B$26,J26='FNC-ORD_prospetto riassuntivo'!$B$23+'FNC-ORD_prospetto riassuntivo'!$B$26),1,0))</f>
        <v>1</v>
      </c>
    </row>
    <row r="27" spans="1:17" x14ac:dyDescent="0.25">
      <c r="J27" s="84">
        <f>IF(J26=0,0,IF('FNC-ORD_prospetto riassuntivo'!$B$23+'FNC-ORD_prospetto riassuntivo'!$B$26&gt;J26,J26+1,0))</f>
        <v>25</v>
      </c>
      <c r="K27" s="85">
        <f>O26*'FNC-ORD_prospetto riassuntivo'!$B$28*Q27</f>
        <v>240.12728060413889</v>
      </c>
      <c r="L27" s="85">
        <f t="shared" si="1"/>
        <v>1485.4492164082585</v>
      </c>
      <c r="M27" s="85">
        <f t="shared" si="2"/>
        <v>1725.5764970123973</v>
      </c>
      <c r="N27" s="86">
        <f t="shared" si="3"/>
        <v>36224.354526421594</v>
      </c>
      <c r="O27" s="85">
        <f>('FNC-ORD_prospetto riassuntivo'!$B$11-N27)*Q27</f>
        <v>113775.64547357841</v>
      </c>
      <c r="P27" s="85">
        <f>K27/(1+SUM('FNC-ORD_prospetto riassuntivo'!$B$29:$B$30)/'FNC-ORD_prospetto riassuntivo'!$B$24)^J27</f>
        <v>218.90377685986098</v>
      </c>
      <c r="Q27">
        <f>IF(J27=0,0,IF(OR(J27&lt;'FNC-ORD_prospetto riassuntivo'!$B$23+'FNC-ORD_prospetto riassuntivo'!$B$26,J27='FNC-ORD_prospetto riassuntivo'!$B$23+'FNC-ORD_prospetto riassuntivo'!$B$26),1,0))</f>
        <v>1</v>
      </c>
    </row>
    <row r="28" spans="1:17" x14ac:dyDescent="0.25">
      <c r="J28" s="84">
        <f>IF(J27=0,0,IF('FNC-ORD_prospetto riassuntivo'!$B$23+'FNC-ORD_prospetto riassuntivo'!$B$26&gt;J27,J27+1,0))</f>
        <v>26</v>
      </c>
      <c r="K28" s="85">
        <f>O27*'FNC-ORD_prospetto riassuntivo'!$B$28*Q28</f>
        <v>237.03259473662169</v>
      </c>
      <c r="L28" s="85">
        <f t="shared" si="1"/>
        <v>1488.5439022757757</v>
      </c>
      <c r="M28" s="85">
        <f t="shared" si="2"/>
        <v>1725.5764970123973</v>
      </c>
      <c r="N28" s="86">
        <f t="shared" si="3"/>
        <v>37712.898428697372</v>
      </c>
      <c r="O28" s="85">
        <f>('FNC-ORD_prospetto riassuntivo'!$B$11-N28)*Q28</f>
        <v>112287.10157130263</v>
      </c>
      <c r="P28" s="85">
        <f>K28/(1+SUM('FNC-ORD_prospetto riassuntivo'!$B$29:$B$30)/'FNC-ORD_prospetto riassuntivo'!$B$24)^J28</f>
        <v>215.28426709793968</v>
      </c>
      <c r="Q28">
        <f>IF(J28=0,0,IF(OR(J28&lt;'FNC-ORD_prospetto riassuntivo'!$B$23+'FNC-ORD_prospetto riassuntivo'!$B$26,J28='FNC-ORD_prospetto riassuntivo'!$B$23+'FNC-ORD_prospetto riassuntivo'!$B$26),1,0))</f>
        <v>1</v>
      </c>
    </row>
    <row r="29" spans="1:17" x14ac:dyDescent="0.25">
      <c r="J29" s="84">
        <f>IF(J28=0,0,IF('FNC-ORD_prospetto riassuntivo'!$B$23+'FNC-ORD_prospetto riassuntivo'!$B$26&gt;J28,J28+1,0))</f>
        <v>27</v>
      </c>
      <c r="K29" s="85">
        <f>O28*'FNC-ORD_prospetto riassuntivo'!$B$28*Q29</f>
        <v>233.93146160688048</v>
      </c>
      <c r="L29" s="85">
        <f t="shared" si="1"/>
        <v>1491.6450354055169</v>
      </c>
      <c r="M29" s="85">
        <f t="shared" si="2"/>
        <v>1725.5764970123973</v>
      </c>
      <c r="N29" s="86">
        <f t="shared" si="3"/>
        <v>39204.543464102891</v>
      </c>
      <c r="O29" s="85">
        <f>('FNC-ORD_prospetto riassuntivo'!$B$11-N29)*Q29</f>
        <v>110795.4565358971</v>
      </c>
      <c r="P29" s="85">
        <f>K29/(1+SUM('FNC-ORD_prospetto riassuntivo'!$B$29:$B$30)/'FNC-ORD_prospetto riassuntivo'!$B$24)^J29</f>
        <v>211.68268067277018</v>
      </c>
      <c r="Q29">
        <f>IF(J29=0,0,IF(OR(J29&lt;'FNC-ORD_prospetto riassuntivo'!$B$23+'FNC-ORD_prospetto riassuntivo'!$B$26,J29='FNC-ORD_prospetto riassuntivo'!$B$23+'FNC-ORD_prospetto riassuntivo'!$B$26),1,0))</f>
        <v>1</v>
      </c>
    </row>
    <row r="30" spans="1:17" x14ac:dyDescent="0.25">
      <c r="J30" s="84">
        <f>IF(J29=0,0,IF('FNC-ORD_prospetto riassuntivo'!$B$23+'FNC-ORD_prospetto riassuntivo'!$B$26&gt;J29,J29+1,0))</f>
        <v>28</v>
      </c>
      <c r="K30" s="85">
        <f>O29*'FNC-ORD_prospetto riassuntivo'!$B$28*Q30</f>
        <v>230.82386778311897</v>
      </c>
      <c r="L30" s="85">
        <f t="shared" si="1"/>
        <v>1494.7526292292785</v>
      </c>
      <c r="M30" s="85">
        <f t="shared" si="2"/>
        <v>1725.5764970123973</v>
      </c>
      <c r="N30" s="86">
        <f t="shared" si="3"/>
        <v>40699.296093332166</v>
      </c>
      <c r="O30" s="85">
        <f>('FNC-ORD_prospetto riassuntivo'!$B$11-N30)*Q30</f>
        <v>109300.70390666783</v>
      </c>
      <c r="P30" s="85">
        <f>K30/(1+SUM('FNC-ORD_prospetto riassuntivo'!$B$29:$B$30)/'FNC-ORD_prospetto riassuntivo'!$B$24)^J30</f>
        <v>208.09894399684177</v>
      </c>
      <c r="Q30">
        <f>IF(J30=0,0,IF(OR(J30&lt;'FNC-ORD_prospetto riassuntivo'!$B$23+'FNC-ORD_prospetto riassuntivo'!$B$26,J30='FNC-ORD_prospetto riassuntivo'!$B$23+'FNC-ORD_prospetto riassuntivo'!$B$26),1,0))</f>
        <v>1</v>
      </c>
    </row>
    <row r="31" spans="1:17" x14ac:dyDescent="0.25">
      <c r="J31" s="84">
        <f>IF(J30=0,0,IF('FNC-ORD_prospetto riassuntivo'!$B$23+'FNC-ORD_prospetto riassuntivo'!$B$26&gt;J30,J30+1,0))</f>
        <v>29</v>
      </c>
      <c r="K31" s="85">
        <f>O30*'FNC-ORD_prospetto riassuntivo'!$B$28*Q31</f>
        <v>227.70979980555796</v>
      </c>
      <c r="L31" s="85">
        <f t="shared" si="1"/>
        <v>1497.8666972068395</v>
      </c>
      <c r="M31" s="85">
        <f t="shared" si="2"/>
        <v>1725.5764970123973</v>
      </c>
      <c r="N31" s="86">
        <f t="shared" si="3"/>
        <v>42197.162790539005</v>
      </c>
      <c r="O31" s="85">
        <f>('FNC-ORD_prospetto riassuntivo'!$B$11-N31)*Q31</f>
        <v>107802.83720946099</v>
      </c>
      <c r="P31" s="85">
        <f>K31/(1+SUM('FNC-ORD_prospetto riassuntivo'!$B$29:$B$30)/'FNC-ORD_prospetto riassuntivo'!$B$24)^J31</f>
        <v>204.53298376645077</v>
      </c>
      <c r="Q31">
        <f>IF(J31=0,0,IF(OR(J31&lt;'FNC-ORD_prospetto riassuntivo'!$B$23+'FNC-ORD_prospetto riassuntivo'!$B$26,J31='FNC-ORD_prospetto riassuntivo'!$B$23+'FNC-ORD_prospetto riassuntivo'!$B$26),1,0))</f>
        <v>1</v>
      </c>
    </row>
    <row r="32" spans="1:17" x14ac:dyDescent="0.25">
      <c r="J32" s="84">
        <f>IF(J31=0,0,IF('FNC-ORD_prospetto riassuntivo'!$B$23+'FNC-ORD_prospetto riassuntivo'!$B$26&gt;J31,J31+1,0))</f>
        <v>30</v>
      </c>
      <c r="K32" s="85">
        <f>O31*'FNC-ORD_prospetto riassuntivo'!$B$28*Q32</f>
        <v>224.58924418637707</v>
      </c>
      <c r="L32" s="85">
        <f t="shared" si="1"/>
        <v>1500.9872528260203</v>
      </c>
      <c r="M32" s="85">
        <f t="shared" si="2"/>
        <v>1725.5764970123973</v>
      </c>
      <c r="N32" s="86">
        <f t="shared" si="3"/>
        <v>43698.150043365022</v>
      </c>
      <c r="O32" s="85">
        <f>('FNC-ORD_prospetto riassuntivo'!$B$11-N32)*Q32</f>
        <v>106301.84995663498</v>
      </c>
      <c r="P32" s="85">
        <f>K32/(1+SUM('FNC-ORD_prospetto riassuntivo'!$B$29:$B$30)/'FNC-ORD_prospetto riassuntivo'!$B$24)^J32</f>
        <v>200.98472696063189</v>
      </c>
      <c r="Q32">
        <f>IF(J32=0,0,IF(OR(J32&lt;'FNC-ORD_prospetto riassuntivo'!$B$23+'FNC-ORD_prospetto riassuntivo'!$B$26,J32='FNC-ORD_prospetto riassuntivo'!$B$23+'FNC-ORD_prospetto riassuntivo'!$B$26),1,0))</f>
        <v>1</v>
      </c>
    </row>
    <row r="33" spans="10:17" x14ac:dyDescent="0.25">
      <c r="J33" s="84">
        <f>IF(J32=0,0,IF('FNC-ORD_prospetto riassuntivo'!$B$23+'FNC-ORD_prospetto riassuntivo'!$B$26&gt;J32,J32+1,0))</f>
        <v>31</v>
      </c>
      <c r="K33" s="85">
        <f>O32*'FNC-ORD_prospetto riassuntivo'!$B$28*Q33</f>
        <v>221.4621874096562</v>
      </c>
      <c r="L33" s="85">
        <f t="shared" si="1"/>
        <v>1504.1143096027411</v>
      </c>
      <c r="M33" s="85">
        <f t="shared" si="2"/>
        <v>1725.5764970123973</v>
      </c>
      <c r="N33" s="86">
        <f t="shared" si="3"/>
        <v>45202.264352967766</v>
      </c>
      <c r="O33" s="85">
        <f>('FNC-ORD_prospetto riassuntivo'!$B$11-N33)*Q33</f>
        <v>104797.73564703224</v>
      </c>
      <c r="P33" s="85">
        <f>K33/(1+SUM('FNC-ORD_prospetto riassuntivo'!$B$29:$B$30)/'FNC-ORD_prospetto riassuntivo'!$B$24)^J33</f>
        <v>197.45410084009444</v>
      </c>
      <c r="Q33">
        <f>IF(J33=0,0,IF(OR(J33&lt;'FNC-ORD_prospetto riassuntivo'!$B$23+'FNC-ORD_prospetto riassuntivo'!$B$26,J33='FNC-ORD_prospetto riassuntivo'!$B$23+'FNC-ORD_prospetto riassuntivo'!$B$26),1,0))</f>
        <v>1</v>
      </c>
    </row>
    <row r="34" spans="10:17" x14ac:dyDescent="0.25">
      <c r="J34" s="84">
        <f>IF(J33=0,0,IF('FNC-ORD_prospetto riassuntivo'!$B$23+'FNC-ORD_prospetto riassuntivo'!$B$26&gt;J33,J33+1,0))</f>
        <v>32</v>
      </c>
      <c r="K34" s="85">
        <f>O33*'FNC-ORD_prospetto riassuntivo'!$B$28*Q34</f>
        <v>218.32861593131716</v>
      </c>
      <c r="L34" s="85">
        <f t="shared" si="1"/>
        <v>1507.2478810810801</v>
      </c>
      <c r="M34" s="85">
        <f t="shared" si="2"/>
        <v>1725.5764970123973</v>
      </c>
      <c r="N34" s="86">
        <f t="shared" si="3"/>
        <v>46709.512234048845</v>
      </c>
      <c r="O34" s="85">
        <f>('FNC-ORD_prospetto riassuntivo'!$B$11-N34)*Q34</f>
        <v>103290.48776595115</v>
      </c>
      <c r="P34" s="85">
        <f>K34/(1+SUM('FNC-ORD_prospetto riassuntivo'!$B$29:$B$30)/'FNC-ORD_prospetto riassuntivo'!$B$24)^J34</f>
        <v>193.94103294616298</v>
      </c>
      <c r="Q34">
        <f>IF(J34=0,0,IF(OR(J34&lt;'FNC-ORD_prospetto riassuntivo'!$B$23+'FNC-ORD_prospetto riassuntivo'!$B$26,J34='FNC-ORD_prospetto riassuntivo'!$B$23+'FNC-ORD_prospetto riassuntivo'!$B$26),1,0))</f>
        <v>1</v>
      </c>
    </row>
    <row r="35" spans="10:17" x14ac:dyDescent="0.25">
      <c r="J35" s="84">
        <f>IF(J34=0,0,IF('FNC-ORD_prospetto riassuntivo'!$B$23+'FNC-ORD_prospetto riassuntivo'!$B$26&gt;J34,J34+1,0))</f>
        <v>33</v>
      </c>
      <c r="K35" s="85">
        <f>O34*'FNC-ORD_prospetto riassuntivo'!$B$28*Q35</f>
        <v>215.18851617906489</v>
      </c>
      <c r="L35" s="85">
        <f t="shared" ref="L35:L66" si="4">M35-K35</f>
        <v>1510.3879808333324</v>
      </c>
      <c r="M35" s="85">
        <f t="shared" si="2"/>
        <v>1725.5764970123973</v>
      </c>
      <c r="N35" s="86">
        <f t="shared" si="3"/>
        <v>48219.900214882175</v>
      </c>
      <c r="O35" s="85">
        <f>('FNC-ORD_prospetto riassuntivo'!$B$11-N35)*Q35</f>
        <v>101780.09978511783</v>
      </c>
      <c r="P35" s="85">
        <f>K35/(1+SUM('FNC-ORD_prospetto riassuntivo'!$B$29:$B$30)/'FNC-ORD_prospetto riassuntivo'!$B$24)^J35</f>
        <v>190.44545109972057</v>
      </c>
      <c r="Q35">
        <f>IF(J35=0,0,IF(OR(J35&lt;'FNC-ORD_prospetto riassuntivo'!$B$23+'FNC-ORD_prospetto riassuntivo'!$B$26,J35='FNC-ORD_prospetto riassuntivo'!$B$23+'FNC-ORD_prospetto riassuntivo'!$B$26),1,0))</f>
        <v>1</v>
      </c>
    </row>
    <row r="36" spans="10:17" x14ac:dyDescent="0.25">
      <c r="J36" s="84">
        <f>IF(J35=0,0,IF('FNC-ORD_prospetto riassuntivo'!$B$23+'FNC-ORD_prospetto riassuntivo'!$B$26&gt;J35,J35+1,0))</f>
        <v>34</v>
      </c>
      <c r="K36" s="85">
        <f>O35*'FNC-ORD_prospetto riassuntivo'!$B$28*Q36</f>
        <v>212.04187455232881</v>
      </c>
      <c r="L36" s="85">
        <f t="shared" si="4"/>
        <v>1513.5346224600685</v>
      </c>
      <c r="M36" s="85">
        <f t="shared" ref="M36:M67" si="5">$M$3*Q36</f>
        <v>1725.5764970123973</v>
      </c>
      <c r="N36" s="86">
        <f t="shared" ref="N36:N67" si="6">(L36+N35)*Q36</f>
        <v>49733.43483734224</v>
      </c>
      <c r="O36" s="85">
        <f>('FNC-ORD_prospetto riassuntivo'!$B$11-N36)*Q36</f>
        <v>100266.56516265776</v>
      </c>
      <c r="P36" s="85">
        <f>K36/(1+SUM('FNC-ORD_prospetto riassuntivo'!$B$29:$B$30)/'FNC-ORD_prospetto riassuntivo'!$B$24)^J36</f>
        <v>186.96728340015736</v>
      </c>
      <c r="Q36">
        <f>IF(J36=0,0,IF(OR(J36&lt;'FNC-ORD_prospetto riassuntivo'!$B$23+'FNC-ORD_prospetto riassuntivo'!$B$26,J36='FNC-ORD_prospetto riassuntivo'!$B$23+'FNC-ORD_prospetto riassuntivo'!$B$26),1,0))</f>
        <v>1</v>
      </c>
    </row>
    <row r="37" spans="10:17" x14ac:dyDescent="0.25">
      <c r="J37" s="84">
        <f>IF(J36=0,0,IF('FNC-ORD_prospetto riassuntivo'!$B$23+'FNC-ORD_prospetto riassuntivo'!$B$26&gt;J36,J36+1,0))</f>
        <v>35</v>
      </c>
      <c r="K37" s="85">
        <f>O36*'FNC-ORD_prospetto riassuntivo'!$B$28*Q37</f>
        <v>208.88867742220367</v>
      </c>
      <c r="L37" s="85">
        <f t="shared" si="4"/>
        <v>1516.6878195901936</v>
      </c>
      <c r="M37" s="85">
        <f t="shared" si="5"/>
        <v>1725.5764970123973</v>
      </c>
      <c r="N37" s="86">
        <f t="shared" si="6"/>
        <v>51250.122656932435</v>
      </c>
      <c r="O37" s="85">
        <f>('FNC-ORD_prospetto riassuntivo'!$B$11-N37)*Q37</f>
        <v>98749.877343067565</v>
      </c>
      <c r="P37" s="85">
        <f>K37/(1+SUM('FNC-ORD_prospetto riassuntivo'!$B$29:$B$30)/'FNC-ORD_prospetto riassuntivo'!$B$24)^J37</f>
        <v>183.50645822432199</v>
      </c>
      <c r="Q37">
        <f>IF(J37=0,0,IF(OR(J37&lt;'FNC-ORD_prospetto riassuntivo'!$B$23+'FNC-ORD_prospetto riassuntivo'!$B$26,J37='FNC-ORD_prospetto riassuntivo'!$B$23+'FNC-ORD_prospetto riassuntivo'!$B$26),1,0))</f>
        <v>1</v>
      </c>
    </row>
    <row r="38" spans="10:17" x14ac:dyDescent="0.25">
      <c r="J38" s="84">
        <f>IF(J37=0,0,IF('FNC-ORD_prospetto riassuntivo'!$B$23+'FNC-ORD_prospetto riassuntivo'!$B$26&gt;J37,J37+1,0))</f>
        <v>36</v>
      </c>
      <c r="K38" s="85">
        <f>O37*'FNC-ORD_prospetto riassuntivo'!$B$28*Q38</f>
        <v>205.72891113139076</v>
      </c>
      <c r="L38" s="85">
        <f t="shared" si="4"/>
        <v>1519.8475858810066</v>
      </c>
      <c r="M38" s="85">
        <f t="shared" si="5"/>
        <v>1725.5764970123973</v>
      </c>
      <c r="N38" s="86">
        <f t="shared" si="6"/>
        <v>52769.970242813441</v>
      </c>
      <c r="O38" s="85">
        <f>('FNC-ORD_prospetto riassuntivo'!$B$11-N38)*Q38</f>
        <v>97230.029757186567</v>
      </c>
      <c r="P38" s="85">
        <f>K38/(1+SUM('FNC-ORD_prospetto riassuntivo'!$B$29:$B$30)/'FNC-ORD_prospetto riassuntivo'!$B$24)^J38</f>
        <v>180.06290422547747</v>
      </c>
      <c r="Q38">
        <f>IF(J38=0,0,IF(OR(J38&lt;'FNC-ORD_prospetto riassuntivo'!$B$23+'FNC-ORD_prospetto riassuntivo'!$B$26,J38='FNC-ORD_prospetto riassuntivo'!$B$23+'FNC-ORD_prospetto riassuntivo'!$B$26),1,0))</f>
        <v>1</v>
      </c>
    </row>
    <row r="39" spans="10:17" x14ac:dyDescent="0.25">
      <c r="J39" s="84">
        <f>IF(J38=0,0,IF('FNC-ORD_prospetto riassuntivo'!$B$23+'FNC-ORD_prospetto riassuntivo'!$B$26&gt;J38,J38+1,0))</f>
        <v>37</v>
      </c>
      <c r="K39" s="85">
        <f>O38*'FNC-ORD_prospetto riassuntivo'!$B$28*Q39</f>
        <v>202.56256199413869</v>
      </c>
      <c r="L39" s="85">
        <f t="shared" si="4"/>
        <v>1523.0139350182587</v>
      </c>
      <c r="M39" s="85">
        <f t="shared" si="5"/>
        <v>1725.5764970123973</v>
      </c>
      <c r="N39" s="86">
        <f t="shared" si="6"/>
        <v>54292.984177831699</v>
      </c>
      <c r="O39" s="85">
        <f>('FNC-ORD_prospetto riassuntivo'!$B$11-N39)*Q39</f>
        <v>95707.015822168294</v>
      </c>
      <c r="P39" s="85">
        <f>K39/(1+SUM('FNC-ORD_prospetto riassuntivo'!$B$29:$B$30)/'FNC-ORD_prospetto riassuntivo'!$B$24)^J39</f>
        <v>176.63655033226121</v>
      </c>
      <c r="Q39">
        <f>IF(J39=0,0,IF(OR(J39&lt;'FNC-ORD_prospetto riassuntivo'!$B$23+'FNC-ORD_prospetto riassuntivo'!$B$26,J39='FNC-ORD_prospetto riassuntivo'!$B$23+'FNC-ORD_prospetto riassuntivo'!$B$26),1,0))</f>
        <v>1</v>
      </c>
    </row>
    <row r="40" spans="10:17" x14ac:dyDescent="0.25">
      <c r="J40" s="84">
        <f>IF(J39=0,0,IF('FNC-ORD_prospetto riassuntivo'!$B$23+'FNC-ORD_prospetto riassuntivo'!$B$26&gt;J39,J39+1,0))</f>
        <v>38</v>
      </c>
      <c r="K40" s="85">
        <f>O39*'FNC-ORD_prospetto riassuntivo'!$B$28*Q40</f>
        <v>199.38961629618393</v>
      </c>
      <c r="L40" s="85">
        <f t="shared" si="4"/>
        <v>1526.1868807162134</v>
      </c>
      <c r="M40" s="85">
        <f t="shared" si="5"/>
        <v>1725.5764970123973</v>
      </c>
      <c r="N40" s="86">
        <f t="shared" si="6"/>
        <v>55819.171058547909</v>
      </c>
      <c r="O40" s="85">
        <f>('FNC-ORD_prospetto riassuntivo'!$B$11-N40)*Q40</f>
        <v>94180.828941452084</v>
      </c>
      <c r="P40" s="85">
        <f>K40/(1+SUM('FNC-ORD_prospetto riassuntivo'!$B$29:$B$30)/'FNC-ORD_prospetto riassuntivo'!$B$24)^J40</f>
        <v>173.22732574764791</v>
      </c>
      <c r="Q40">
        <f>IF(J40=0,0,IF(OR(J40&lt;'FNC-ORD_prospetto riassuntivo'!$B$23+'FNC-ORD_prospetto riassuntivo'!$B$26,J40='FNC-ORD_prospetto riassuntivo'!$B$23+'FNC-ORD_prospetto riassuntivo'!$B$26),1,0))</f>
        <v>1</v>
      </c>
    </row>
    <row r="41" spans="10:17" x14ac:dyDescent="0.25">
      <c r="J41" s="84">
        <f>IF(J40=0,0,IF('FNC-ORD_prospetto riassuntivo'!$B$23+'FNC-ORD_prospetto riassuntivo'!$B$26&gt;J40,J40+1,0))</f>
        <v>39</v>
      </c>
      <c r="K41" s="85">
        <f>O40*'FNC-ORD_prospetto riassuntivo'!$B$28*Q41</f>
        <v>196.21006029469183</v>
      </c>
      <c r="L41" s="85">
        <f t="shared" si="4"/>
        <v>1529.3664367177055</v>
      </c>
      <c r="M41" s="85">
        <f t="shared" si="5"/>
        <v>1725.5764970123973</v>
      </c>
      <c r="N41" s="86">
        <f t="shared" si="6"/>
        <v>57348.537495265613</v>
      </c>
      <c r="O41" s="85">
        <f>('FNC-ORD_prospetto riassuntivo'!$B$11-N41)*Q41</f>
        <v>92651.462504734387</v>
      </c>
      <c r="P41" s="85">
        <f>K41/(1+SUM('FNC-ORD_prospetto riassuntivo'!$B$29:$B$30)/'FNC-ORD_prospetto riassuntivo'!$B$24)^J41</f>
        <v>169.83515994791756</v>
      </c>
      <c r="Q41">
        <f>IF(J41=0,0,IF(OR(J41&lt;'FNC-ORD_prospetto riassuntivo'!$B$23+'FNC-ORD_prospetto riassuntivo'!$B$26,J41='FNC-ORD_prospetto riassuntivo'!$B$23+'FNC-ORD_prospetto riassuntivo'!$B$26),1,0))</f>
        <v>1</v>
      </c>
    </row>
    <row r="42" spans="10:17" x14ac:dyDescent="0.25">
      <c r="J42" s="84">
        <f>IF(J41=0,0,IF('FNC-ORD_prospetto riassuntivo'!$B$23+'FNC-ORD_prospetto riassuntivo'!$B$26&gt;J41,J41+1,0))</f>
        <v>40</v>
      </c>
      <c r="K42" s="85">
        <f>O41*'FNC-ORD_prospetto riassuntivo'!$B$28*Q42</f>
        <v>193.02388021819664</v>
      </c>
      <c r="L42" s="85">
        <f t="shared" si="4"/>
        <v>1532.5526167942007</v>
      </c>
      <c r="M42" s="85">
        <f t="shared" si="5"/>
        <v>1725.5764970123973</v>
      </c>
      <c r="N42" s="86">
        <f t="shared" si="6"/>
        <v>58881.090112059814</v>
      </c>
      <c r="O42" s="85">
        <f>('FNC-ORD_prospetto riassuntivo'!$B$11-N42)*Q42</f>
        <v>91118.909887940186</v>
      </c>
      <c r="P42" s="85">
        <f>K42/(1+SUM('FNC-ORD_prospetto riassuntivo'!$B$29:$B$30)/'FNC-ORD_prospetto riassuntivo'!$B$24)^J42</f>
        <v>166.4599826816262</v>
      </c>
      <c r="Q42">
        <f>IF(J42=0,0,IF(OR(J42&lt;'FNC-ORD_prospetto riassuntivo'!$B$23+'FNC-ORD_prospetto riassuntivo'!$B$26,J42='FNC-ORD_prospetto riassuntivo'!$B$23+'FNC-ORD_prospetto riassuntivo'!$B$26),1,0))</f>
        <v>1</v>
      </c>
    </row>
    <row r="43" spans="10:17" x14ac:dyDescent="0.25">
      <c r="J43" s="84">
        <f>IF(J42=0,0,IF('FNC-ORD_prospetto riassuntivo'!$B$23+'FNC-ORD_prospetto riassuntivo'!$B$26&gt;J42,J42+1,0))</f>
        <v>41</v>
      </c>
      <c r="K43" s="85">
        <f>O42*'FNC-ORD_prospetto riassuntivo'!$B$28*Q43</f>
        <v>189.83106226654206</v>
      </c>
      <c r="L43" s="85">
        <f t="shared" si="4"/>
        <v>1535.7454347458552</v>
      </c>
      <c r="M43" s="85">
        <f t="shared" si="5"/>
        <v>1725.5764970123973</v>
      </c>
      <c r="N43" s="86">
        <f t="shared" si="6"/>
        <v>60416.835546805669</v>
      </c>
      <c r="O43" s="85">
        <f>('FNC-ORD_prospetto riassuntivo'!$B$11-N43)*Q43</f>
        <v>89583.164453194331</v>
      </c>
      <c r="P43" s="85">
        <f>K43/(1+SUM('FNC-ORD_prospetto riassuntivo'!$B$29:$B$30)/'FNC-ORD_prospetto riassuntivo'!$B$24)^J43</f>
        <v>163.1017239685813</v>
      </c>
      <c r="Q43">
        <f>IF(J43=0,0,IF(OR(J43&lt;'FNC-ORD_prospetto riassuntivo'!$B$23+'FNC-ORD_prospetto riassuntivo'!$B$26,J43='FNC-ORD_prospetto riassuntivo'!$B$23+'FNC-ORD_prospetto riassuntivo'!$B$26),1,0))</f>
        <v>1</v>
      </c>
    </row>
    <row r="44" spans="10:17" x14ac:dyDescent="0.25">
      <c r="J44" s="84">
        <f>IF(J43=0,0,IF('FNC-ORD_prospetto riassuntivo'!$B$23+'FNC-ORD_prospetto riassuntivo'!$B$26&gt;J43,J43+1,0))</f>
        <v>42</v>
      </c>
      <c r="K44" s="85">
        <f>O43*'FNC-ORD_prospetto riassuntivo'!$B$28*Q44</f>
        <v>186.63159261082151</v>
      </c>
      <c r="L44" s="85">
        <f t="shared" si="4"/>
        <v>1538.9449044015757</v>
      </c>
      <c r="M44" s="85">
        <f t="shared" si="5"/>
        <v>1725.5764970123973</v>
      </c>
      <c r="N44" s="86">
        <f t="shared" si="6"/>
        <v>61955.780451207247</v>
      </c>
      <c r="O44" s="85">
        <f>('FNC-ORD_prospetto riassuntivo'!$B$11-N44)*Q44</f>
        <v>88044.219548792753</v>
      </c>
      <c r="P44" s="85">
        <f>K44/(1+SUM('FNC-ORD_prospetto riassuntivo'!$B$29:$B$30)/'FNC-ORD_prospetto riassuntivo'!$B$24)^J44</f>
        <v>159.76031409882049</v>
      </c>
      <c r="Q44">
        <f>IF(J44=0,0,IF(OR(J44&lt;'FNC-ORD_prospetto riassuntivo'!$B$23+'FNC-ORD_prospetto riassuntivo'!$B$26,J44='FNC-ORD_prospetto riassuntivo'!$B$23+'FNC-ORD_prospetto riassuntivo'!$B$26),1,0))</f>
        <v>1</v>
      </c>
    </row>
    <row r="45" spans="10:17" x14ac:dyDescent="0.25">
      <c r="J45" s="84">
        <f>IF(J44=0,0,IF('FNC-ORD_prospetto riassuntivo'!$B$23+'FNC-ORD_prospetto riassuntivo'!$B$26&gt;J44,J44+1,0))</f>
        <v>43</v>
      </c>
      <c r="K45" s="85">
        <f>O44*'FNC-ORD_prospetto riassuntivo'!$B$28*Q45</f>
        <v>183.42545739331823</v>
      </c>
      <c r="L45" s="85">
        <f t="shared" si="4"/>
        <v>1542.151039619079</v>
      </c>
      <c r="M45" s="85">
        <f t="shared" si="5"/>
        <v>1725.5764970123973</v>
      </c>
      <c r="N45" s="86">
        <f t="shared" si="6"/>
        <v>63497.931490826326</v>
      </c>
      <c r="O45" s="85">
        <f>('FNC-ORD_prospetto riassuntivo'!$B$11-N45)*Q45</f>
        <v>86502.068509173667</v>
      </c>
      <c r="P45" s="85">
        <f>K45/(1+SUM('FNC-ORD_prospetto riassuntivo'!$B$29:$B$30)/'FNC-ORD_prospetto riassuntivo'!$B$24)^J45</f>
        <v>156.43568363159437</v>
      </c>
      <c r="Q45">
        <f>IF(J45=0,0,IF(OR(J45&lt;'FNC-ORD_prospetto riassuntivo'!$B$23+'FNC-ORD_prospetto riassuntivo'!$B$26,J45='FNC-ORD_prospetto riassuntivo'!$B$23+'FNC-ORD_prospetto riassuntivo'!$B$26),1,0))</f>
        <v>1</v>
      </c>
    </row>
    <row r="46" spans="10:17" x14ac:dyDescent="0.25">
      <c r="J46" s="84">
        <f>IF(J45=0,0,IF('FNC-ORD_prospetto riassuntivo'!$B$23+'FNC-ORD_prospetto riassuntivo'!$B$26&gt;J45,J45+1,0))</f>
        <v>44</v>
      </c>
      <c r="K46" s="85">
        <f>O45*'FNC-ORD_prospetto riassuntivo'!$B$28*Q46</f>
        <v>180.21264272744514</v>
      </c>
      <c r="L46" s="85">
        <f t="shared" si="4"/>
        <v>1545.3638542849521</v>
      </c>
      <c r="M46" s="85">
        <f t="shared" si="5"/>
        <v>1725.5764970123973</v>
      </c>
      <c r="N46" s="86">
        <f t="shared" si="6"/>
        <v>65043.295345111277</v>
      </c>
      <c r="O46" s="85">
        <f>('FNC-ORD_prospetto riassuntivo'!$B$11-N46)*Q46</f>
        <v>84956.704654888716</v>
      </c>
      <c r="P46" s="85">
        <f>K46/(1+SUM('FNC-ORD_prospetto riassuntivo'!$B$29:$B$30)/'FNC-ORD_prospetto riassuntivo'!$B$24)^J46</f>
        <v>153.1277633943528</v>
      </c>
      <c r="Q46">
        <f>IF(J46=0,0,IF(OR(J46&lt;'FNC-ORD_prospetto riassuntivo'!$B$23+'FNC-ORD_prospetto riassuntivo'!$B$26,J46='FNC-ORD_prospetto riassuntivo'!$B$23+'FNC-ORD_prospetto riassuntivo'!$B$26),1,0))</f>
        <v>1</v>
      </c>
    </row>
    <row r="47" spans="10:17" x14ac:dyDescent="0.25">
      <c r="J47" s="84">
        <f>IF(J46=0,0,IF('FNC-ORD_prospetto riassuntivo'!$B$23+'FNC-ORD_prospetto riassuntivo'!$B$26&gt;J46,J46+1,0))</f>
        <v>45</v>
      </c>
      <c r="K47" s="85">
        <f>O46*'FNC-ORD_prospetto riassuntivo'!$B$28*Q47</f>
        <v>176.99313469768481</v>
      </c>
      <c r="L47" s="85">
        <f t="shared" si="4"/>
        <v>1548.5833623147125</v>
      </c>
      <c r="M47" s="85">
        <f t="shared" si="5"/>
        <v>1725.5764970123973</v>
      </c>
      <c r="N47" s="86">
        <f t="shared" si="6"/>
        <v>66591.878707425989</v>
      </c>
      <c r="O47" s="85">
        <f>('FNC-ORD_prospetto riassuntivo'!$B$11-N47)*Q47</f>
        <v>83408.121292574011</v>
      </c>
      <c r="P47" s="85">
        <f>K47/(1+SUM('FNC-ORD_prospetto riassuntivo'!$B$29:$B$30)/'FNC-ORD_prospetto riassuntivo'!$B$24)^J47</f>
        <v>149.83648448173548</v>
      </c>
      <c r="Q47">
        <f>IF(J47=0,0,IF(OR(J47&lt;'FNC-ORD_prospetto riassuntivo'!$B$23+'FNC-ORD_prospetto riassuntivo'!$B$26,J47='FNC-ORD_prospetto riassuntivo'!$B$23+'FNC-ORD_prospetto riassuntivo'!$B$26),1,0))</f>
        <v>1</v>
      </c>
    </row>
    <row r="48" spans="10:17" x14ac:dyDescent="0.25">
      <c r="J48" s="84">
        <f>IF(J47=0,0,IF('FNC-ORD_prospetto riassuntivo'!$B$23+'FNC-ORD_prospetto riassuntivo'!$B$26&gt;J47,J47+1,0))</f>
        <v>46</v>
      </c>
      <c r="K48" s="85">
        <f>O47*'FNC-ORD_prospetto riassuntivo'!$B$28*Q48</f>
        <v>173.7669193595292</v>
      </c>
      <c r="L48" s="85">
        <f t="shared" si="4"/>
        <v>1551.809577652868</v>
      </c>
      <c r="M48" s="85">
        <f t="shared" si="5"/>
        <v>1725.5764970123973</v>
      </c>
      <c r="N48" s="86">
        <f t="shared" si="6"/>
        <v>68143.688285078853</v>
      </c>
      <c r="O48" s="85">
        <f>('FNC-ORD_prospetto riassuntivo'!$B$11-N48)*Q48</f>
        <v>81856.311714921147</v>
      </c>
      <c r="P48" s="85">
        <f>K48/(1+SUM('FNC-ORD_prospetto riassuntivo'!$B$29:$B$30)/'FNC-ORD_prospetto riassuntivo'!$B$24)^J48</f>
        <v>146.56177825456564</v>
      </c>
      <c r="Q48">
        <f>IF(J48=0,0,IF(OR(J48&lt;'FNC-ORD_prospetto riassuntivo'!$B$23+'FNC-ORD_prospetto riassuntivo'!$B$26,J48='FNC-ORD_prospetto riassuntivo'!$B$23+'FNC-ORD_prospetto riassuntivo'!$B$26),1,0))</f>
        <v>1</v>
      </c>
    </row>
    <row r="49" spans="10:17" x14ac:dyDescent="0.25">
      <c r="J49" s="84">
        <f>IF(J48=0,0,IF('FNC-ORD_prospetto riassuntivo'!$B$23+'FNC-ORD_prospetto riassuntivo'!$B$26&gt;J48,J48+1,0))</f>
        <v>47</v>
      </c>
      <c r="K49" s="85">
        <f>O48*'FNC-ORD_prospetto riassuntivo'!$B$28*Q49</f>
        <v>170.53398273941906</v>
      </c>
      <c r="L49" s="85">
        <f t="shared" si="4"/>
        <v>1555.0425142729782</v>
      </c>
      <c r="M49" s="85">
        <f t="shared" si="5"/>
        <v>1725.5764970123973</v>
      </c>
      <c r="N49" s="86">
        <f t="shared" si="6"/>
        <v>69698.730799351833</v>
      </c>
      <c r="O49" s="85">
        <f>('FNC-ORD_prospetto riassuntivo'!$B$11-N49)*Q49</f>
        <v>80301.269200648167</v>
      </c>
      <c r="P49" s="85">
        <f>K49/(1+SUM('FNC-ORD_prospetto riassuntivo'!$B$29:$B$30)/'FNC-ORD_prospetto riassuntivo'!$B$24)^J49</f>
        <v>143.30357633884782</v>
      </c>
      <c r="Q49">
        <f>IF(J49=0,0,IF(OR(J49&lt;'FNC-ORD_prospetto riassuntivo'!$B$23+'FNC-ORD_prospetto riassuntivo'!$B$26,J49='FNC-ORD_prospetto riassuntivo'!$B$23+'FNC-ORD_prospetto riassuntivo'!$B$26),1,0))</f>
        <v>1</v>
      </c>
    </row>
    <row r="50" spans="10:17" x14ac:dyDescent="0.25">
      <c r="J50" s="84">
        <f>IF(J49=0,0,IF('FNC-ORD_prospetto riassuntivo'!$B$23+'FNC-ORD_prospetto riassuntivo'!$B$26&gt;J49,J49+1,0))</f>
        <v>48</v>
      </c>
      <c r="K50" s="85">
        <f>O49*'FNC-ORD_prospetto riassuntivo'!$B$28*Q50</f>
        <v>167.29431083468367</v>
      </c>
      <c r="L50" s="85">
        <f t="shared" si="4"/>
        <v>1558.2821861777136</v>
      </c>
      <c r="M50" s="85">
        <f t="shared" si="5"/>
        <v>1725.5764970123973</v>
      </c>
      <c r="N50" s="86">
        <f t="shared" si="6"/>
        <v>71257.012985529553</v>
      </c>
      <c r="O50" s="85">
        <f>('FNC-ORD_prospetto riassuntivo'!$B$11-N50)*Q50</f>
        <v>78742.987014470447</v>
      </c>
      <c r="P50" s="85">
        <f>K50/(1+SUM('FNC-ORD_prospetto riassuntivo'!$B$29:$B$30)/'FNC-ORD_prospetto riassuntivo'!$B$24)^J50</f>
        <v>140.06181062476961</v>
      </c>
      <c r="Q50">
        <f>IF(J50=0,0,IF(OR(J50&lt;'FNC-ORD_prospetto riassuntivo'!$B$23+'FNC-ORD_prospetto riassuntivo'!$B$26,J50='FNC-ORD_prospetto riassuntivo'!$B$23+'FNC-ORD_prospetto riassuntivo'!$B$26),1,0))</f>
        <v>1</v>
      </c>
    </row>
    <row r="51" spans="10:17" x14ac:dyDescent="0.25">
      <c r="J51" s="84">
        <f>IF(J50=0,0,IF('FNC-ORD_prospetto riassuntivo'!$B$23+'FNC-ORD_prospetto riassuntivo'!$B$26&gt;J50,J50+1,0))</f>
        <v>49</v>
      </c>
      <c r="K51" s="85">
        <f>O50*'FNC-ORD_prospetto riassuntivo'!$B$28*Q51</f>
        <v>164.04788961348009</v>
      </c>
      <c r="L51" s="85">
        <f t="shared" si="4"/>
        <v>1561.5286073989173</v>
      </c>
      <c r="M51" s="85">
        <f t="shared" si="5"/>
        <v>1725.5764970123973</v>
      </c>
      <c r="N51" s="86">
        <f t="shared" si="6"/>
        <v>72818.541592928465</v>
      </c>
      <c r="O51" s="85">
        <f>('FNC-ORD_prospetto riassuntivo'!$B$11-N51)*Q51</f>
        <v>77181.458407071535</v>
      </c>
      <c r="P51" s="85">
        <f>K51/(1+SUM('FNC-ORD_prospetto riassuntivo'!$B$29:$B$30)/'FNC-ORD_prospetto riassuntivo'!$B$24)^J51</f>
        <v>136.83641326570677</v>
      </c>
      <c r="Q51">
        <f>IF(J51=0,0,IF(OR(J51&lt;'FNC-ORD_prospetto riassuntivo'!$B$23+'FNC-ORD_prospetto riassuntivo'!$B$26,J51='FNC-ORD_prospetto riassuntivo'!$B$23+'FNC-ORD_prospetto riassuntivo'!$B$26),1,0))</f>
        <v>1</v>
      </c>
    </row>
    <row r="52" spans="10:17" x14ac:dyDescent="0.25">
      <c r="J52" s="84">
        <f>IF(J51=0,0,IF('FNC-ORD_prospetto riassuntivo'!$B$23+'FNC-ORD_prospetto riassuntivo'!$B$26&gt;J51,J51+1,0))</f>
        <v>50</v>
      </c>
      <c r="K52" s="85">
        <f>O51*'FNC-ORD_prospetto riassuntivo'!$B$28*Q52</f>
        <v>160.79470501473236</v>
      </c>
      <c r="L52" s="85">
        <f t="shared" si="4"/>
        <v>1564.7817919976651</v>
      </c>
      <c r="M52" s="85">
        <f t="shared" si="5"/>
        <v>1725.5764970123973</v>
      </c>
      <c r="N52" s="86">
        <f t="shared" si="6"/>
        <v>74383.323384926131</v>
      </c>
      <c r="O52" s="85">
        <f>('FNC-ORD_prospetto riassuntivo'!$B$11-N52)*Q52</f>
        <v>75616.676615073869</v>
      </c>
      <c r="P52" s="85">
        <f>K52/(1+SUM('FNC-ORD_prospetto riassuntivo'!$B$29:$B$30)/'FNC-ORD_prospetto riassuntivo'!$B$24)^J52</f>
        <v>133.62731667723196</v>
      </c>
      <c r="Q52">
        <f>IF(J52=0,0,IF(OR(J52&lt;'FNC-ORD_prospetto riassuntivo'!$B$23+'FNC-ORD_prospetto riassuntivo'!$B$26,J52='FNC-ORD_prospetto riassuntivo'!$B$23+'FNC-ORD_prospetto riassuntivo'!$B$26),1,0))</f>
        <v>1</v>
      </c>
    </row>
    <row r="53" spans="10:17" x14ac:dyDescent="0.25">
      <c r="J53" s="84">
        <f>IF(J52=0,0,IF('FNC-ORD_prospetto riassuntivo'!$B$23+'FNC-ORD_prospetto riassuntivo'!$B$26&gt;J52,J52+1,0))</f>
        <v>51</v>
      </c>
      <c r="K53" s="85">
        <f>O52*'FNC-ORD_prospetto riassuntivo'!$B$28*Q53</f>
        <v>157.53474294807057</v>
      </c>
      <c r="L53" s="85">
        <f t="shared" si="4"/>
        <v>1568.0417540643268</v>
      </c>
      <c r="M53" s="85">
        <f t="shared" si="5"/>
        <v>1725.5764970123973</v>
      </c>
      <c r="N53" s="86">
        <f t="shared" si="6"/>
        <v>75951.365138990455</v>
      </c>
      <c r="O53" s="85">
        <f>('FNC-ORD_prospetto riassuntivo'!$B$11-N53)*Q53</f>
        <v>74048.634861009545</v>
      </c>
      <c r="P53" s="85">
        <f>K53/(1+SUM('FNC-ORD_prospetto riassuntivo'!$B$29:$B$30)/'FNC-ORD_prospetto riassuntivo'!$B$24)^J53</f>
        <v>130.43445353612765</v>
      </c>
      <c r="Q53">
        <f>IF(J53=0,0,IF(OR(J53&lt;'FNC-ORD_prospetto riassuntivo'!$B$23+'FNC-ORD_prospetto riassuntivo'!$B$26,J53='FNC-ORD_prospetto riassuntivo'!$B$23+'FNC-ORD_prospetto riassuntivo'!$B$26),1,0))</f>
        <v>1</v>
      </c>
    </row>
    <row r="54" spans="10:17" x14ac:dyDescent="0.25">
      <c r="J54" s="84">
        <f>IF(J53=0,0,IF('FNC-ORD_prospetto riassuntivo'!$B$23+'FNC-ORD_prospetto riassuntivo'!$B$26&gt;J53,J53+1,0))</f>
        <v>52</v>
      </c>
      <c r="K54" s="85">
        <f>O53*'FNC-ORD_prospetto riassuntivo'!$B$28*Q54</f>
        <v>154.26798929376989</v>
      </c>
      <c r="L54" s="85">
        <f t="shared" si="4"/>
        <v>1571.3085077186274</v>
      </c>
      <c r="M54" s="85">
        <f t="shared" si="5"/>
        <v>1725.5764970123973</v>
      </c>
      <c r="N54" s="86">
        <f t="shared" si="6"/>
        <v>77522.673646709081</v>
      </c>
      <c r="O54" s="85">
        <f>('FNC-ORD_prospetto riassuntivo'!$B$11-N54)*Q54</f>
        <v>72477.326353290919</v>
      </c>
      <c r="P54" s="85">
        <f>K54/(1+SUM('FNC-ORD_prospetto riassuntivo'!$B$29:$B$30)/'FNC-ORD_prospetto riassuntivo'!$B$24)^J54</f>
        <v>127.25775677940209</v>
      </c>
      <c r="Q54">
        <f>IF(J54=0,0,IF(OR(J54&lt;'FNC-ORD_prospetto riassuntivo'!$B$23+'FNC-ORD_prospetto riassuntivo'!$B$26,J54='FNC-ORD_prospetto riassuntivo'!$B$23+'FNC-ORD_prospetto riassuntivo'!$B$26),1,0))</f>
        <v>1</v>
      </c>
    </row>
    <row r="55" spans="10:17" x14ac:dyDescent="0.25">
      <c r="J55" s="84">
        <f>IF(J54=0,0,IF('FNC-ORD_prospetto riassuntivo'!$B$23+'FNC-ORD_prospetto riassuntivo'!$B$26&gt;J54,J54+1,0))</f>
        <v>53</v>
      </c>
      <c r="K55" s="85">
        <f>O54*'FNC-ORD_prospetto riassuntivo'!$B$28*Q55</f>
        <v>150.9944299026894</v>
      </c>
      <c r="L55" s="85">
        <f t="shared" si="4"/>
        <v>1574.5820671097079</v>
      </c>
      <c r="M55" s="85">
        <f t="shared" si="5"/>
        <v>1725.5764970123973</v>
      </c>
      <c r="N55" s="86">
        <f t="shared" si="6"/>
        <v>79097.255713818784</v>
      </c>
      <c r="O55" s="85">
        <f>('FNC-ORD_prospetto riassuntivo'!$B$11-N55)*Q55</f>
        <v>70902.744286181216</v>
      </c>
      <c r="P55" s="85">
        <f>K55/(1+SUM('FNC-ORD_prospetto riassuntivo'!$B$29:$B$30)/'FNC-ORD_prospetto riassuntivo'!$B$24)^J55</f>
        <v>124.09715960330959</v>
      </c>
      <c r="Q55">
        <f>IF(J55=0,0,IF(OR(J55&lt;'FNC-ORD_prospetto riassuntivo'!$B$23+'FNC-ORD_prospetto riassuntivo'!$B$26,J55='FNC-ORD_prospetto riassuntivo'!$B$23+'FNC-ORD_prospetto riassuntivo'!$B$26),1,0))</f>
        <v>1</v>
      </c>
    </row>
    <row r="56" spans="10:17" x14ac:dyDescent="0.25">
      <c r="J56" s="84">
        <f>IF(J55=0,0,IF('FNC-ORD_prospetto riassuntivo'!$B$23+'FNC-ORD_prospetto riassuntivo'!$B$26&gt;J55,J55+1,0))</f>
        <v>54</v>
      </c>
      <c r="K56" s="85">
        <f>O55*'FNC-ORD_prospetto riassuntivo'!$B$28*Q56</f>
        <v>147.71405059621085</v>
      </c>
      <c r="L56" s="85">
        <f t="shared" si="4"/>
        <v>1577.8624464161865</v>
      </c>
      <c r="M56" s="85">
        <f t="shared" si="5"/>
        <v>1725.5764970123973</v>
      </c>
      <c r="N56" s="86">
        <f t="shared" si="6"/>
        <v>80675.118160234968</v>
      </c>
      <c r="O56" s="85">
        <f>('FNC-ORD_prospetto riassuntivo'!$B$11-N56)*Q56</f>
        <v>69324.881839765032</v>
      </c>
      <c r="P56" s="85">
        <f>K56/(1+SUM('FNC-ORD_prospetto riassuntivo'!$B$29:$B$30)/'FNC-ORD_prospetto riassuntivo'!$B$24)^J56</f>
        <v>120.95259546237399</v>
      </c>
      <c r="Q56">
        <f>IF(J56=0,0,IF(OR(J56&lt;'FNC-ORD_prospetto riassuntivo'!$B$23+'FNC-ORD_prospetto riassuntivo'!$B$26,J56='FNC-ORD_prospetto riassuntivo'!$B$23+'FNC-ORD_prospetto riassuntivo'!$B$26),1,0))</f>
        <v>1</v>
      </c>
    </row>
    <row r="57" spans="10:17" x14ac:dyDescent="0.25">
      <c r="J57" s="84">
        <f>IF(J56=0,0,IF('FNC-ORD_prospetto riassuntivo'!$B$23+'FNC-ORD_prospetto riassuntivo'!$B$26&gt;J56,J56+1,0))</f>
        <v>55</v>
      </c>
      <c r="K57" s="85">
        <f>O56*'FNC-ORD_prospetto riassuntivo'!$B$28*Q57</f>
        <v>144.42683716617714</v>
      </c>
      <c r="L57" s="85">
        <f t="shared" si="4"/>
        <v>1581.1496598462202</v>
      </c>
      <c r="M57" s="85">
        <f t="shared" si="5"/>
        <v>1725.5764970123973</v>
      </c>
      <c r="N57" s="86">
        <f t="shared" si="6"/>
        <v>82256.267820081193</v>
      </c>
      <c r="O57" s="85">
        <f>('FNC-ORD_prospetto riassuntivo'!$B$11-N57)*Q57</f>
        <v>67743.732179918807</v>
      </c>
      <c r="P57" s="85">
        <f>K57/(1+SUM('FNC-ORD_prospetto riassuntivo'!$B$29:$B$30)/'FNC-ORD_prospetto riassuntivo'!$B$24)^J57</f>
        <v>117.82399806841578</v>
      </c>
      <c r="Q57">
        <f>IF(J57=0,0,IF(OR(J57&lt;'FNC-ORD_prospetto riassuntivo'!$B$23+'FNC-ORD_prospetto riassuntivo'!$B$26,J57='FNC-ORD_prospetto riassuntivo'!$B$23+'FNC-ORD_prospetto riassuntivo'!$B$26),1,0))</f>
        <v>1</v>
      </c>
    </row>
    <row r="58" spans="10:17" x14ac:dyDescent="0.25">
      <c r="J58" s="84">
        <f>IF(J57=0,0,IF('FNC-ORD_prospetto riassuntivo'!$B$23+'FNC-ORD_prospetto riassuntivo'!$B$26&gt;J57,J57+1,0))</f>
        <v>56</v>
      </c>
      <c r="K58" s="85">
        <f>O57*'FNC-ORD_prospetto riassuntivo'!$B$28*Q58</f>
        <v>141.13277537483086</v>
      </c>
      <c r="L58" s="85">
        <f t="shared" si="4"/>
        <v>1584.4437216375666</v>
      </c>
      <c r="M58" s="85">
        <f t="shared" si="5"/>
        <v>1725.5764970123973</v>
      </c>
      <c r="N58" s="86">
        <f t="shared" si="6"/>
        <v>83840.71154171876</v>
      </c>
      <c r="O58" s="85">
        <f>('FNC-ORD_prospetto riassuntivo'!$B$11-N58)*Q58</f>
        <v>66159.28845828124</v>
      </c>
      <c r="P58" s="85">
        <f>K58/(1+SUM('FNC-ORD_prospetto riassuntivo'!$B$29:$B$30)/'FNC-ORD_prospetto riassuntivo'!$B$24)^J58</f>
        <v>114.71130138958311</v>
      </c>
      <c r="Q58">
        <f>IF(J58=0,0,IF(OR(J58&lt;'FNC-ORD_prospetto riassuntivo'!$B$23+'FNC-ORD_prospetto riassuntivo'!$B$26,J58='FNC-ORD_prospetto riassuntivo'!$B$23+'FNC-ORD_prospetto riassuntivo'!$B$26),1,0))</f>
        <v>1</v>
      </c>
    </row>
    <row r="59" spans="10:17" x14ac:dyDescent="0.25">
      <c r="J59" s="84">
        <f>IF(J58=0,0,IF('FNC-ORD_prospetto riassuntivo'!$B$23+'FNC-ORD_prospetto riassuntivo'!$B$26&gt;J58,J58+1,0))</f>
        <v>57</v>
      </c>
      <c r="K59" s="85">
        <f>O58*'FNC-ORD_prospetto riassuntivo'!$B$28*Q59</f>
        <v>137.83185095475258</v>
      </c>
      <c r="L59" s="85">
        <f t="shared" si="4"/>
        <v>1587.7446460576448</v>
      </c>
      <c r="M59" s="85">
        <f t="shared" si="5"/>
        <v>1725.5764970123973</v>
      </c>
      <c r="N59" s="86">
        <f t="shared" si="6"/>
        <v>85428.456187776406</v>
      </c>
      <c r="O59" s="85">
        <f>('FNC-ORD_prospetto riassuntivo'!$B$11-N59)*Q59</f>
        <v>64571.543812223594</v>
      </c>
      <c r="P59" s="85">
        <f>K59/(1+SUM('FNC-ORD_prospetto riassuntivo'!$B$29:$B$30)/'FNC-ORD_prospetto riassuntivo'!$B$24)^J59</f>
        <v>111.61443964938627</v>
      </c>
      <c r="Q59">
        <f>IF(J59=0,0,IF(OR(J59&lt;'FNC-ORD_prospetto riassuntivo'!$B$23+'FNC-ORD_prospetto riassuntivo'!$B$26,J59='FNC-ORD_prospetto riassuntivo'!$B$23+'FNC-ORD_prospetto riassuntivo'!$B$26),1,0))</f>
        <v>1</v>
      </c>
    </row>
    <row r="60" spans="10:17" x14ac:dyDescent="0.25">
      <c r="J60" s="84">
        <f>IF(J59=0,0,IF('FNC-ORD_prospetto riassuntivo'!$B$23+'FNC-ORD_prospetto riassuntivo'!$B$26&gt;J59,J59+1,0))</f>
        <v>58</v>
      </c>
      <c r="K60" s="85">
        <f>O59*'FNC-ORD_prospetto riassuntivo'!$B$28*Q60</f>
        <v>134.52404960879915</v>
      </c>
      <c r="L60" s="85">
        <f t="shared" si="4"/>
        <v>1591.0524474035983</v>
      </c>
      <c r="M60" s="85">
        <f t="shared" si="5"/>
        <v>1725.5764970123973</v>
      </c>
      <c r="N60" s="86">
        <f t="shared" si="6"/>
        <v>87019.508635179998</v>
      </c>
      <c r="O60" s="85">
        <f>('FNC-ORD_prospetto riassuntivo'!$B$11-N60)*Q60</f>
        <v>62980.491364820002</v>
      </c>
      <c r="P60" s="85">
        <f>K60/(1+SUM('FNC-ORD_prospetto riassuntivo'!$B$29:$B$30)/'FNC-ORD_prospetto riassuntivo'!$B$24)^J60</f>
        <v>108.5333473257357</v>
      </c>
      <c r="Q60">
        <f>IF(J60=0,0,IF(OR(J60&lt;'FNC-ORD_prospetto riassuntivo'!$B$23+'FNC-ORD_prospetto riassuntivo'!$B$26,J60='FNC-ORD_prospetto riassuntivo'!$B$23+'FNC-ORD_prospetto riassuntivo'!$B$26),1,0))</f>
        <v>1</v>
      </c>
    </row>
    <row r="61" spans="10:17" x14ac:dyDescent="0.25">
      <c r="J61" s="84">
        <f>IF(J60=0,0,IF('FNC-ORD_prospetto riassuntivo'!$B$23+'FNC-ORD_prospetto riassuntivo'!$B$26&gt;J60,J60+1,0))</f>
        <v>59</v>
      </c>
      <c r="K61" s="85">
        <f>O60*'FNC-ORD_prospetto riassuntivo'!$B$28*Q61</f>
        <v>131.20935701004166</v>
      </c>
      <c r="L61" s="85">
        <f t="shared" si="4"/>
        <v>1594.3671400023557</v>
      </c>
      <c r="M61" s="85">
        <f t="shared" si="5"/>
        <v>1725.5764970123973</v>
      </c>
      <c r="N61" s="86">
        <f t="shared" si="6"/>
        <v>88613.875775182358</v>
      </c>
      <c r="O61" s="85">
        <f>('FNC-ORD_prospetto riassuntivo'!$B$11-N61)*Q61</f>
        <v>61386.124224817642</v>
      </c>
      <c r="P61" s="85">
        <f>K61/(1+SUM('FNC-ORD_prospetto riassuntivo'!$B$29:$B$30)/'FNC-ORD_prospetto riassuntivo'!$B$24)^J61</f>
        <v>105.46795914998383</v>
      </c>
      <c r="Q61">
        <f>IF(J61=0,0,IF(OR(J61&lt;'FNC-ORD_prospetto riassuntivo'!$B$23+'FNC-ORD_prospetto riassuntivo'!$B$26,J61='FNC-ORD_prospetto riassuntivo'!$B$23+'FNC-ORD_prospetto riassuntivo'!$B$26),1,0))</f>
        <v>1</v>
      </c>
    </row>
    <row r="62" spans="10:17" x14ac:dyDescent="0.25">
      <c r="J62" s="84">
        <f>IF(J61=0,0,IF('FNC-ORD_prospetto riassuntivo'!$B$23+'FNC-ORD_prospetto riassuntivo'!$B$26&gt;J61,J61+1,0))</f>
        <v>60</v>
      </c>
      <c r="K62" s="85">
        <f>O61*'FNC-ORD_prospetto riassuntivo'!$B$28*Q62</f>
        <v>127.88775880170341</v>
      </c>
      <c r="L62" s="85">
        <f t="shared" si="4"/>
        <v>1597.6887382106938</v>
      </c>
      <c r="M62" s="85">
        <f t="shared" si="5"/>
        <v>1725.5764970123973</v>
      </c>
      <c r="N62" s="86">
        <f t="shared" si="6"/>
        <v>90211.564513393052</v>
      </c>
      <c r="O62" s="85">
        <f>('FNC-ORD_prospetto riassuntivo'!$B$11-N62)*Q62</f>
        <v>59788.435486606948</v>
      </c>
      <c r="P62" s="85">
        <f>K62/(1+SUM('FNC-ORD_prospetto riassuntivo'!$B$29:$B$30)/'FNC-ORD_prospetto riassuntivo'!$B$24)^J62</f>
        <v>102.41821010596988</v>
      </c>
      <c r="Q62">
        <f>IF(J62=0,0,IF(OR(J62&lt;'FNC-ORD_prospetto riassuntivo'!$B$23+'FNC-ORD_prospetto riassuntivo'!$B$26,J62='FNC-ORD_prospetto riassuntivo'!$B$23+'FNC-ORD_prospetto riassuntivo'!$B$26),1,0))</f>
        <v>1</v>
      </c>
    </row>
    <row r="63" spans="10:17" x14ac:dyDescent="0.25">
      <c r="J63" s="84">
        <f>IF(J62=0,0,IF('FNC-ORD_prospetto riassuntivo'!$B$23+'FNC-ORD_prospetto riassuntivo'!$B$26&gt;J62,J62+1,0))</f>
        <v>61</v>
      </c>
      <c r="K63" s="85">
        <f>O62*'FNC-ORD_prospetto riassuntivo'!$B$28*Q63</f>
        <v>124.55924059709781</v>
      </c>
      <c r="L63" s="85">
        <f t="shared" si="4"/>
        <v>1601.0172564152995</v>
      </c>
      <c r="M63" s="85">
        <f t="shared" si="5"/>
        <v>1725.5764970123973</v>
      </c>
      <c r="N63" s="86">
        <f t="shared" si="6"/>
        <v>91812.581769808356</v>
      </c>
      <c r="O63" s="85">
        <f>('FNC-ORD_prospetto riassuntivo'!$B$11-N63)*Q63</f>
        <v>58187.418230191644</v>
      </c>
      <c r="P63" s="85">
        <f>K63/(1+SUM('FNC-ORD_prospetto riassuntivo'!$B$29:$B$30)/'FNC-ORD_prospetto riassuntivo'!$B$24)^J63</f>
        <v>99.384035429069229</v>
      </c>
      <c r="Q63">
        <f>IF(J63=0,0,IF(OR(J63&lt;'FNC-ORD_prospetto riassuntivo'!$B$23+'FNC-ORD_prospetto riassuntivo'!$B$26,J63='FNC-ORD_prospetto riassuntivo'!$B$23+'FNC-ORD_prospetto riassuntivo'!$B$26),1,0))</f>
        <v>1</v>
      </c>
    </row>
    <row r="64" spans="10:17" x14ac:dyDescent="0.25">
      <c r="J64" s="84">
        <f>IF(J63=0,0,IF('FNC-ORD_prospetto riassuntivo'!$B$23+'FNC-ORD_prospetto riassuntivo'!$B$26&gt;J63,J63+1,0))</f>
        <v>62</v>
      </c>
      <c r="K64" s="85">
        <f>O63*'FNC-ORD_prospetto riassuntivo'!$B$28*Q64</f>
        <v>121.22378797956593</v>
      </c>
      <c r="L64" s="85">
        <f t="shared" si="4"/>
        <v>1604.3527090328314</v>
      </c>
      <c r="M64" s="85">
        <f t="shared" si="5"/>
        <v>1725.5764970123973</v>
      </c>
      <c r="N64" s="86">
        <f t="shared" si="6"/>
        <v>93416.934478841184</v>
      </c>
      <c r="O64" s="85">
        <f>('FNC-ORD_prospetto riassuntivo'!$B$11-N64)*Q64</f>
        <v>56583.065521158816</v>
      </c>
      <c r="P64" s="85">
        <f>K64/(1+SUM('FNC-ORD_prospetto riassuntivo'!$B$29:$B$30)/'FNC-ORD_prospetto riassuntivo'!$B$24)^J64</f>
        <v>96.365370605245346</v>
      </c>
      <c r="Q64">
        <f>IF(J64=0,0,IF(OR(J64&lt;'FNC-ORD_prospetto riassuntivo'!$B$23+'FNC-ORD_prospetto riassuntivo'!$B$26,J64='FNC-ORD_prospetto riassuntivo'!$B$23+'FNC-ORD_prospetto riassuntivo'!$B$26),1,0))</f>
        <v>1</v>
      </c>
    </row>
    <row r="65" spans="10:17" x14ac:dyDescent="0.25">
      <c r="J65" s="84">
        <f>IF(J64=0,0,IF('FNC-ORD_prospetto riassuntivo'!$B$23+'FNC-ORD_prospetto riassuntivo'!$B$26&gt;J64,J64+1,0))</f>
        <v>63</v>
      </c>
      <c r="K65" s="85">
        <f>O64*'FNC-ORD_prospetto riassuntivo'!$B$28*Q65</f>
        <v>117.8813865024142</v>
      </c>
      <c r="L65" s="85">
        <f t="shared" si="4"/>
        <v>1607.6951105099831</v>
      </c>
      <c r="M65" s="85">
        <f t="shared" si="5"/>
        <v>1725.5764970123973</v>
      </c>
      <c r="N65" s="86">
        <f t="shared" si="6"/>
        <v>95024.629589351171</v>
      </c>
      <c r="O65" s="85">
        <f>('FNC-ORD_prospetto riassuntivo'!$B$11-N65)*Q65</f>
        <v>54975.370410648829</v>
      </c>
      <c r="P65" s="85">
        <f>K65/(1+SUM('FNC-ORD_prospetto riassuntivo'!$B$29:$B$30)/'FNC-ORD_prospetto riassuntivo'!$B$24)^J65</f>
        <v>93.36215137010565</v>
      </c>
      <c r="Q65">
        <f>IF(J65=0,0,IF(OR(J65&lt;'FNC-ORD_prospetto riassuntivo'!$B$23+'FNC-ORD_prospetto riassuntivo'!$B$26,J65='FNC-ORD_prospetto riassuntivo'!$B$23+'FNC-ORD_prospetto riassuntivo'!$B$26),1,0))</f>
        <v>1</v>
      </c>
    </row>
    <row r="66" spans="10:17" x14ac:dyDescent="0.25">
      <c r="J66" s="84">
        <f>IF(J65=0,0,IF('FNC-ORD_prospetto riassuntivo'!$B$23+'FNC-ORD_prospetto riassuntivo'!$B$26&gt;J65,J65+1,0))</f>
        <v>64</v>
      </c>
      <c r="K66" s="85">
        <f>O65*'FNC-ORD_prospetto riassuntivo'!$B$28*Q66</f>
        <v>114.53202168885173</v>
      </c>
      <c r="L66" s="85">
        <f t="shared" si="4"/>
        <v>1611.0444753235456</v>
      </c>
      <c r="M66" s="85">
        <f t="shared" si="5"/>
        <v>1725.5764970123973</v>
      </c>
      <c r="N66" s="86">
        <f t="shared" si="6"/>
        <v>96635.67406467472</v>
      </c>
      <c r="O66" s="85">
        <f>('FNC-ORD_prospetto riassuntivo'!$B$11-N66)*Q66</f>
        <v>53364.32593532528</v>
      </c>
      <c r="P66" s="85">
        <f>K66/(1+SUM('FNC-ORD_prospetto riassuntivo'!$B$29:$B$30)/'FNC-ORD_prospetto riassuntivo'!$B$24)^J66</f>
        <v>90.37431370796115</v>
      </c>
      <c r="Q66">
        <f>IF(J66=0,0,IF(OR(J66&lt;'FNC-ORD_prospetto riassuntivo'!$B$23+'FNC-ORD_prospetto riassuntivo'!$B$26,J66='FNC-ORD_prospetto riassuntivo'!$B$23+'FNC-ORD_prospetto riassuntivo'!$B$26),1,0))</f>
        <v>1</v>
      </c>
    </row>
    <row r="67" spans="10:17" x14ac:dyDescent="0.25">
      <c r="J67" s="84">
        <f>IF(J66=0,0,IF('FNC-ORD_prospetto riassuntivo'!$B$23+'FNC-ORD_prospetto riassuntivo'!$B$26&gt;J66,J66+1,0))</f>
        <v>65</v>
      </c>
      <c r="K67" s="85">
        <f>O66*'FNC-ORD_prospetto riassuntivo'!$B$28*Q67</f>
        <v>111.17567903192766</v>
      </c>
      <c r="L67" s="85">
        <f t="shared" ref="L67:L98" si="7">M67-K67</f>
        <v>1614.4008179804696</v>
      </c>
      <c r="M67" s="85">
        <f t="shared" si="5"/>
        <v>1725.5764970123973</v>
      </c>
      <c r="N67" s="86">
        <f t="shared" si="6"/>
        <v>98250.074882655186</v>
      </c>
      <c r="O67" s="85">
        <f>('FNC-ORD_prospetto riassuntivo'!$B$11-N67)*Q67</f>
        <v>51749.925117344814</v>
      </c>
      <c r="P67" s="85">
        <f>K67/(1+SUM('FNC-ORD_prospetto riassuntivo'!$B$29:$B$30)/'FNC-ORD_prospetto riassuntivo'!$B$24)^J67</f>
        <v>87.401793850889121</v>
      </c>
      <c r="Q67">
        <f>IF(J67=0,0,IF(OR(J67&lt;'FNC-ORD_prospetto riassuntivo'!$B$23+'FNC-ORD_prospetto riassuntivo'!$B$26,J67='FNC-ORD_prospetto riassuntivo'!$B$23+'FNC-ORD_prospetto riassuntivo'!$B$26),1,0))</f>
        <v>1</v>
      </c>
    </row>
    <row r="68" spans="10:17" x14ac:dyDescent="0.25">
      <c r="J68" s="84">
        <f>IF(J67=0,0,IF('FNC-ORD_prospetto riassuntivo'!$B$23+'FNC-ORD_prospetto riassuntivo'!$B$26&gt;J67,J67+1,0))</f>
        <v>66</v>
      </c>
      <c r="K68" s="85">
        <f>O67*'FNC-ORD_prospetto riassuntivo'!$B$28*Q68</f>
        <v>107.81234399446836</v>
      </c>
      <c r="L68" s="85">
        <f t="shared" si="7"/>
        <v>1617.7641530179289</v>
      </c>
      <c r="M68" s="85">
        <f t="shared" ref="M68:M98" si="8">$M$3*Q68</f>
        <v>1725.5764970123973</v>
      </c>
      <c r="N68" s="86">
        <f t="shared" ref="N68:N98" si="9">(L68+N67)*Q68</f>
        <v>99867.839035673111</v>
      </c>
      <c r="O68" s="85">
        <f>('FNC-ORD_prospetto riassuntivo'!$B$11-N68)*Q68</f>
        <v>50132.160964326889</v>
      </c>
      <c r="P68" s="85">
        <f>K68/(1+SUM('FNC-ORD_prospetto riassuntivo'!$B$29:$B$30)/'FNC-ORD_prospetto riassuntivo'!$B$24)^J68</f>
        <v>84.444528277799577</v>
      </c>
      <c r="Q68">
        <f>IF(J68=0,0,IF(OR(J68&lt;'FNC-ORD_prospetto riassuntivo'!$B$23+'FNC-ORD_prospetto riassuntivo'!$B$26,J68='FNC-ORD_prospetto riassuntivo'!$B$23+'FNC-ORD_prospetto riassuntivo'!$B$26),1,0))</f>
        <v>1</v>
      </c>
    </row>
    <row r="69" spans="10:17" x14ac:dyDescent="0.25">
      <c r="J69" s="84">
        <f>IF(J68=0,0,IF('FNC-ORD_prospetto riassuntivo'!$B$23+'FNC-ORD_prospetto riassuntivo'!$B$26&gt;J68,J68+1,0))</f>
        <v>67</v>
      </c>
      <c r="K69" s="85">
        <f>O68*'FNC-ORD_prospetto riassuntivo'!$B$28*Q69</f>
        <v>104.44200200901435</v>
      </c>
      <c r="L69" s="85">
        <f t="shared" si="7"/>
        <v>1621.1344950033831</v>
      </c>
      <c r="M69" s="85">
        <f t="shared" si="8"/>
        <v>1725.5764970123973</v>
      </c>
      <c r="N69" s="86">
        <f t="shared" si="9"/>
        <v>101488.97353067649</v>
      </c>
      <c r="O69" s="85">
        <f>('FNC-ORD_prospetto riassuntivo'!$B$11-N69)*Q69</f>
        <v>48511.026469323508</v>
      </c>
      <c r="P69" s="85">
        <f>K69/(1+SUM('FNC-ORD_prospetto riassuntivo'!$B$29:$B$30)/'FNC-ORD_prospetto riassuntivo'!$B$24)^J69</f>
        <v>81.502453713505048</v>
      </c>
      <c r="Q69">
        <f>IF(J69=0,0,IF(OR(J69&lt;'FNC-ORD_prospetto riassuntivo'!$B$23+'FNC-ORD_prospetto riassuntivo'!$B$26,J69='FNC-ORD_prospetto riassuntivo'!$B$23+'FNC-ORD_prospetto riassuntivo'!$B$26),1,0))</f>
        <v>1</v>
      </c>
    </row>
    <row r="70" spans="10:17" x14ac:dyDescent="0.25">
      <c r="J70" s="84">
        <f>IF(J69=0,0,IF('FNC-ORD_prospetto riassuntivo'!$B$23+'FNC-ORD_prospetto riassuntivo'!$B$26&gt;J69,J69+1,0))</f>
        <v>68</v>
      </c>
      <c r="K70" s="85">
        <f>O69*'FNC-ORD_prospetto riassuntivo'!$B$28*Q70</f>
        <v>101.06463847775731</v>
      </c>
      <c r="L70" s="85">
        <f t="shared" si="7"/>
        <v>1624.5118585346399</v>
      </c>
      <c r="M70" s="85">
        <f t="shared" si="8"/>
        <v>1725.5764970123973</v>
      </c>
      <c r="N70" s="86">
        <f t="shared" si="9"/>
        <v>103113.48538921113</v>
      </c>
      <c r="O70" s="85">
        <f>('FNC-ORD_prospetto riassuntivo'!$B$11-N70)*Q70</f>
        <v>46886.514610788872</v>
      </c>
      <c r="P70" s="85">
        <f>K70/(1+SUM('FNC-ORD_prospetto riassuntivo'!$B$29:$B$30)/'FNC-ORD_prospetto riassuntivo'!$B$24)^J70</f>
        <v>78.575507127793983</v>
      </c>
      <c r="Q70">
        <f>IF(J70=0,0,IF(OR(J70&lt;'FNC-ORD_prospetto riassuntivo'!$B$23+'FNC-ORD_prospetto riassuntivo'!$B$26,J70='FNC-ORD_prospetto riassuntivo'!$B$23+'FNC-ORD_prospetto riassuntivo'!$B$26),1,0))</f>
        <v>1</v>
      </c>
    </row>
    <row r="71" spans="10:17" x14ac:dyDescent="0.25">
      <c r="J71" s="84">
        <f>IF(J70=0,0,IF('FNC-ORD_prospetto riassuntivo'!$B$23+'FNC-ORD_prospetto riassuntivo'!$B$26&gt;J70,J70+1,0))</f>
        <v>69</v>
      </c>
      <c r="K71" s="85">
        <f>O70*'FNC-ORD_prospetto riassuntivo'!$B$28*Q71</f>
        <v>97.680238772476812</v>
      </c>
      <c r="L71" s="85">
        <f t="shared" si="7"/>
        <v>1627.8962582399206</v>
      </c>
      <c r="M71" s="85">
        <f t="shared" si="8"/>
        <v>1725.5764970123973</v>
      </c>
      <c r="N71" s="86">
        <f t="shared" si="9"/>
        <v>104741.38164745105</v>
      </c>
      <c r="O71" s="85">
        <f>('FNC-ORD_prospetto riassuntivo'!$B$11-N71)*Q71</f>
        <v>45258.618352548947</v>
      </c>
      <c r="P71" s="85">
        <f>K71/(1+SUM('FNC-ORD_prospetto riassuntivo'!$B$29:$B$30)/'FNC-ORD_prospetto riassuntivo'!$B$24)^J71</f>
        <v>75.663625734507448</v>
      </c>
      <c r="Q71">
        <f>IF(J71=0,0,IF(OR(J71&lt;'FNC-ORD_prospetto riassuntivo'!$B$23+'FNC-ORD_prospetto riassuntivo'!$B$26,J71='FNC-ORD_prospetto riassuntivo'!$B$23+'FNC-ORD_prospetto riassuntivo'!$B$26),1,0))</f>
        <v>1</v>
      </c>
    </row>
    <row r="72" spans="10:17" x14ac:dyDescent="0.25">
      <c r="J72" s="84">
        <f>IF(J71=0,0,IF('FNC-ORD_prospetto riassuntivo'!$B$23+'FNC-ORD_prospetto riassuntivo'!$B$26&gt;J71,J71+1,0))</f>
        <v>70</v>
      </c>
      <c r="K72" s="85">
        <f>O71*'FNC-ORD_prospetto riassuntivo'!$B$28*Q72</f>
        <v>94.288788234476968</v>
      </c>
      <c r="L72" s="85">
        <f t="shared" si="7"/>
        <v>1631.2877087779204</v>
      </c>
      <c r="M72" s="85">
        <f t="shared" si="8"/>
        <v>1725.5764970123973</v>
      </c>
      <c r="N72" s="86">
        <f t="shared" si="9"/>
        <v>106372.66935622897</v>
      </c>
      <c r="O72" s="85">
        <f>('FNC-ORD_prospetto riassuntivo'!$B$11-N72)*Q72</f>
        <v>43627.330643771027</v>
      </c>
      <c r="P72" s="85">
        <f>K72/(1+SUM('FNC-ORD_prospetto riassuntivo'!$B$29:$B$30)/'FNC-ORD_prospetto riassuntivo'!$B$24)^J72</f>
        <v>72.766746990619453</v>
      </c>
      <c r="Q72">
        <f>IF(J72=0,0,IF(OR(J72&lt;'FNC-ORD_prospetto riassuntivo'!$B$23+'FNC-ORD_prospetto riassuntivo'!$B$26,J72='FNC-ORD_prospetto riassuntivo'!$B$23+'FNC-ORD_prospetto riassuntivo'!$B$26),1,0))</f>
        <v>1</v>
      </c>
    </row>
    <row r="73" spans="10:17" x14ac:dyDescent="0.25">
      <c r="J73" s="84">
        <f>IF(J72=0,0,IF('FNC-ORD_prospetto riassuntivo'!$B$23+'FNC-ORD_prospetto riassuntivo'!$B$26&gt;J72,J72+1,0))</f>
        <v>71</v>
      </c>
      <c r="K73" s="85">
        <f>O72*'FNC-ORD_prospetto riassuntivo'!$B$28*Q73</f>
        <v>90.890272174522977</v>
      </c>
      <c r="L73" s="85">
        <f t="shared" si="7"/>
        <v>1634.6862248378743</v>
      </c>
      <c r="M73" s="85">
        <f t="shared" si="8"/>
        <v>1725.5764970123973</v>
      </c>
      <c r="N73" s="86">
        <f t="shared" si="9"/>
        <v>108007.35558106685</v>
      </c>
      <c r="O73" s="85">
        <f>('FNC-ORD_prospetto riassuntivo'!$B$11-N73)*Q73</f>
        <v>41992.644418933152</v>
      </c>
      <c r="P73" s="85">
        <f>K73/(1+SUM('FNC-ORD_prospetto riassuntivo'!$B$29:$B$30)/'FNC-ORD_prospetto riassuntivo'!$B$24)^J73</f>
        <v>69.884808595320493</v>
      </c>
      <c r="Q73">
        <f>IF(J73=0,0,IF(OR(J73&lt;'FNC-ORD_prospetto riassuntivo'!$B$23+'FNC-ORD_prospetto riassuntivo'!$B$26,J73='FNC-ORD_prospetto riassuntivo'!$B$23+'FNC-ORD_prospetto riassuntivo'!$B$26),1,0))</f>
        <v>1</v>
      </c>
    </row>
    <row r="74" spans="10:17" x14ac:dyDescent="0.25">
      <c r="J74" s="84">
        <f>IF(J73=0,0,IF('FNC-ORD_prospetto riassuntivo'!$B$23+'FNC-ORD_prospetto riassuntivo'!$B$26&gt;J73,J73+1,0))</f>
        <v>72</v>
      </c>
      <c r="K74" s="85">
        <f>O73*'FNC-ORD_prospetto riassuntivo'!$B$28*Q74</f>
        <v>87.484675872777402</v>
      </c>
      <c r="L74" s="85">
        <f t="shared" si="7"/>
        <v>1638.0918211396199</v>
      </c>
      <c r="M74" s="85">
        <f t="shared" si="8"/>
        <v>1725.5764970123973</v>
      </c>
      <c r="N74" s="86">
        <f t="shared" si="9"/>
        <v>109645.44740220647</v>
      </c>
      <c r="O74" s="85">
        <f>('FNC-ORD_prospetto riassuntivo'!$B$11-N74)*Q74</f>
        <v>40354.552597793532</v>
      </c>
      <c r="P74" s="85">
        <f>K74/(1+SUM('FNC-ORD_prospetto riassuntivo'!$B$29:$B$30)/'FNC-ORD_prospetto riassuntivo'!$B$24)^J74</f>
        <v>67.017748489104605</v>
      </c>
      <c r="Q74">
        <f>IF(J74=0,0,IF(OR(J74&lt;'FNC-ORD_prospetto riassuntivo'!$B$23+'FNC-ORD_prospetto riassuntivo'!$B$26,J74='FNC-ORD_prospetto riassuntivo'!$B$23+'FNC-ORD_prospetto riassuntivo'!$B$26),1,0))</f>
        <v>1</v>
      </c>
    </row>
    <row r="75" spans="10:17" x14ac:dyDescent="0.25">
      <c r="J75" s="84">
        <f>IF(J74=0,0,IF('FNC-ORD_prospetto riassuntivo'!$B$23+'FNC-ORD_prospetto riassuntivo'!$B$26&gt;J74,J74+1,0))</f>
        <v>73</v>
      </c>
      <c r="K75" s="85">
        <f>O74*'FNC-ORD_prospetto riassuntivo'!$B$28*Q75</f>
        <v>84.071984578736519</v>
      </c>
      <c r="L75" s="85">
        <f t="shared" si="7"/>
        <v>1641.5045124336609</v>
      </c>
      <c r="M75" s="85">
        <f t="shared" si="8"/>
        <v>1725.5764970123973</v>
      </c>
      <c r="N75" s="86">
        <f t="shared" si="9"/>
        <v>111286.95191464013</v>
      </c>
      <c r="O75" s="85">
        <f>('FNC-ORD_prospetto riassuntivo'!$B$11-N75)*Q75</f>
        <v>38713.048085359871</v>
      </c>
      <c r="P75" s="85">
        <f>K75/(1+SUM('FNC-ORD_prospetto riassuntivo'!$B$29:$B$30)/'FNC-ORD_prospetto riassuntivo'!$B$24)^J75</f>
        <v>64.165504852859939</v>
      </c>
      <c r="Q75">
        <f>IF(J75=0,0,IF(OR(J75&lt;'FNC-ORD_prospetto riassuntivo'!$B$23+'FNC-ORD_prospetto riassuntivo'!$B$26,J75='FNC-ORD_prospetto riassuntivo'!$B$23+'FNC-ORD_prospetto riassuntivo'!$B$26),1,0))</f>
        <v>1</v>
      </c>
    </row>
    <row r="76" spans="10:17" x14ac:dyDescent="0.25">
      <c r="J76" s="84">
        <f>IF(J75=0,0,IF('FNC-ORD_prospetto riassuntivo'!$B$23+'FNC-ORD_prospetto riassuntivo'!$B$26&gt;J75,J75+1,0))</f>
        <v>74</v>
      </c>
      <c r="K76" s="85">
        <f>O75*'FNC-ORD_prospetto riassuntivo'!$B$28*Q76</f>
        <v>80.652183511166399</v>
      </c>
      <c r="L76" s="85">
        <f t="shared" si="7"/>
        <v>1644.9243135012309</v>
      </c>
      <c r="M76" s="85">
        <f t="shared" si="8"/>
        <v>1725.5764970123973</v>
      </c>
      <c r="N76" s="86">
        <f t="shared" si="9"/>
        <v>112931.87622814137</v>
      </c>
      <c r="O76" s="85">
        <f>('FNC-ORD_prospetto riassuntivo'!$B$11-N76)*Q76</f>
        <v>37068.123771858634</v>
      </c>
      <c r="P76" s="85">
        <f>K76/(1+SUM('FNC-ORD_prospetto riassuntivo'!$B$29:$B$30)/'FNC-ORD_prospetto riassuntivo'!$B$24)^J76</f>
        <v>61.328016106962473</v>
      </c>
      <c r="Q76">
        <f>IF(J76=0,0,IF(OR(J76&lt;'FNC-ORD_prospetto riassuntivo'!$B$23+'FNC-ORD_prospetto riassuntivo'!$B$26,J76='FNC-ORD_prospetto riassuntivo'!$B$23+'FNC-ORD_prospetto riassuntivo'!$B$26),1,0))</f>
        <v>1</v>
      </c>
    </row>
    <row r="77" spans="10:17" x14ac:dyDescent="0.25">
      <c r="J77" s="84">
        <f>IF(J76=0,0,IF('FNC-ORD_prospetto riassuntivo'!$B$23+'FNC-ORD_prospetto riassuntivo'!$B$26&gt;J76,J76+1,0))</f>
        <v>75</v>
      </c>
      <c r="K77" s="85">
        <f>O76*'FNC-ORD_prospetto riassuntivo'!$B$28*Q77</f>
        <v>77.225257858038816</v>
      </c>
      <c r="L77" s="85">
        <f t="shared" si="7"/>
        <v>1648.3512391543586</v>
      </c>
      <c r="M77" s="85">
        <f t="shared" si="8"/>
        <v>1725.5764970123973</v>
      </c>
      <c r="N77" s="86">
        <f t="shared" si="9"/>
        <v>114580.22746729573</v>
      </c>
      <c r="O77" s="85">
        <f>('FNC-ORD_prospetto riassuntivo'!$B$11-N77)*Q77</f>
        <v>35419.772532704272</v>
      </c>
      <c r="P77" s="85">
        <f>K77/(1+SUM('FNC-ORD_prospetto riassuntivo'!$B$29:$B$30)/'FNC-ORD_prospetto riassuntivo'!$B$24)^J77</f>
        <v>58.505220910373332</v>
      </c>
      <c r="Q77">
        <f>IF(J77=0,0,IF(OR(J77&lt;'FNC-ORD_prospetto riassuntivo'!$B$23+'FNC-ORD_prospetto riassuntivo'!$B$26,J77='FNC-ORD_prospetto riassuntivo'!$B$23+'FNC-ORD_prospetto riassuntivo'!$B$26),1,0))</f>
        <v>1</v>
      </c>
    </row>
    <row r="78" spans="10:17" x14ac:dyDescent="0.25">
      <c r="J78" s="84">
        <f>IF(J77=0,0,IF('FNC-ORD_prospetto riassuntivo'!$B$23+'FNC-ORD_prospetto riassuntivo'!$B$26&gt;J77,J77+1,0))</f>
        <v>76</v>
      </c>
      <c r="K78" s="85">
        <f>O77*'FNC-ORD_prospetto riassuntivo'!$B$28*Q78</f>
        <v>73.791192776467227</v>
      </c>
      <c r="L78" s="85">
        <f t="shared" si="7"/>
        <v>1651.7853042359302</v>
      </c>
      <c r="M78" s="85">
        <f t="shared" si="8"/>
        <v>1725.5764970123973</v>
      </c>
      <c r="N78" s="86">
        <f t="shared" si="9"/>
        <v>116232.01277153166</v>
      </c>
      <c r="O78" s="85">
        <f>('FNC-ORD_prospetto riassuntivo'!$B$11-N78)*Q78</f>
        <v>33767.987228468337</v>
      </c>
      <c r="P78" s="85">
        <f>K78/(1+SUM('FNC-ORD_prospetto riassuntivo'!$B$29:$B$30)/'FNC-ORD_prospetto riassuntivo'!$B$24)^J78</f>
        <v>55.697058159739328</v>
      </c>
      <c r="Q78">
        <f>IF(J78=0,0,IF(OR(J78&lt;'FNC-ORD_prospetto riassuntivo'!$B$23+'FNC-ORD_prospetto riassuntivo'!$B$26,J78='FNC-ORD_prospetto riassuntivo'!$B$23+'FNC-ORD_prospetto riassuntivo'!$B$26),1,0))</f>
        <v>1</v>
      </c>
    </row>
    <row r="79" spans="10:17" x14ac:dyDescent="0.25">
      <c r="J79" s="84">
        <f>IF(J78=0,0,IF('FNC-ORD_prospetto riassuntivo'!$B$23+'FNC-ORD_prospetto riassuntivo'!$B$26&gt;J78,J78+1,0))</f>
        <v>77</v>
      </c>
      <c r="K79" s="85">
        <f>O78*'FNC-ORD_prospetto riassuntivo'!$B$28*Q79</f>
        <v>70.349973392642369</v>
      </c>
      <c r="L79" s="85">
        <f t="shared" si="7"/>
        <v>1655.226523619755</v>
      </c>
      <c r="M79" s="85">
        <f t="shared" si="8"/>
        <v>1725.5764970123973</v>
      </c>
      <c r="N79" s="86">
        <f t="shared" si="9"/>
        <v>117887.23929515142</v>
      </c>
      <c r="O79" s="85">
        <f>('FNC-ORD_prospetto riassuntivo'!$B$11-N79)*Q79</f>
        <v>32112.760704848581</v>
      </c>
      <c r="P79" s="85">
        <f>K79/(1+SUM('FNC-ORD_prospetto riassuntivo'!$B$29:$B$30)/'FNC-ORD_prospetto riassuntivo'!$B$24)^J79</f>
        <v>52.90346698849698</v>
      </c>
      <c r="Q79">
        <f>IF(J79=0,0,IF(OR(J79&lt;'FNC-ORD_prospetto riassuntivo'!$B$23+'FNC-ORD_prospetto riassuntivo'!$B$26,J79='FNC-ORD_prospetto riassuntivo'!$B$23+'FNC-ORD_prospetto riassuntivo'!$B$26),1,0))</f>
        <v>1</v>
      </c>
    </row>
    <row r="80" spans="10:17" x14ac:dyDescent="0.25">
      <c r="J80" s="84">
        <f>IF(J79=0,0,IF('FNC-ORD_prospetto riassuntivo'!$B$23+'FNC-ORD_prospetto riassuntivo'!$B$26&gt;J79,J79+1,0))</f>
        <v>78</v>
      </c>
      <c r="K80" s="85">
        <f>O79*'FNC-ORD_prospetto riassuntivo'!$B$28*Q80</f>
        <v>66.901584801767882</v>
      </c>
      <c r="L80" s="85">
        <f t="shared" si="7"/>
        <v>1658.6749122106294</v>
      </c>
      <c r="M80" s="85">
        <f t="shared" si="8"/>
        <v>1725.5764970123973</v>
      </c>
      <c r="N80" s="86">
        <f t="shared" si="9"/>
        <v>119545.91420736205</v>
      </c>
      <c r="O80" s="85">
        <f>('FNC-ORD_prospetto riassuntivo'!$B$11-N80)*Q80</f>
        <v>30454.085792637954</v>
      </c>
      <c r="P80" s="85">
        <f>K80/(1+SUM('FNC-ORD_prospetto riassuntivo'!$B$29:$B$30)/'FNC-ORD_prospetto riassuntivo'!$B$24)^J80</f>
        <v>50.124386765979693</v>
      </c>
      <c r="Q80">
        <f>IF(J80=0,0,IF(OR(J80&lt;'FNC-ORD_prospetto riassuntivo'!$B$23+'FNC-ORD_prospetto riassuntivo'!$B$26,J80='FNC-ORD_prospetto riassuntivo'!$B$23+'FNC-ORD_prospetto riassuntivo'!$B$26),1,0))</f>
        <v>1</v>
      </c>
    </row>
    <row r="81" spans="10:17" x14ac:dyDescent="0.25">
      <c r="J81" s="84">
        <f>IF(J80=0,0,IF('FNC-ORD_prospetto riassuntivo'!$B$23+'FNC-ORD_prospetto riassuntivo'!$B$26&gt;J80,J80+1,0))</f>
        <v>79</v>
      </c>
      <c r="K81" s="85">
        <f>O80*'FNC-ORD_prospetto riassuntivo'!$B$28*Q81</f>
        <v>63.446012067995738</v>
      </c>
      <c r="L81" s="85">
        <f t="shared" si="7"/>
        <v>1662.1304849444016</v>
      </c>
      <c r="M81" s="85">
        <f t="shared" si="8"/>
        <v>1725.5764970123973</v>
      </c>
      <c r="N81" s="86">
        <f t="shared" si="9"/>
        <v>121208.04469230644</v>
      </c>
      <c r="O81" s="85">
        <f>('FNC-ORD_prospetto riassuntivo'!$B$11-N81)*Q81</f>
        <v>28791.955307693555</v>
      </c>
      <c r="P81" s="85">
        <f>K81/(1+SUM('FNC-ORD_prospetto riassuntivo'!$B$29:$B$30)/'FNC-ORD_prospetto riassuntivo'!$B$24)^J81</f>
        <v>47.359757096528412</v>
      </c>
      <c r="Q81">
        <f>IF(J81=0,0,IF(OR(J81&lt;'FNC-ORD_prospetto riassuntivo'!$B$23+'FNC-ORD_prospetto riassuntivo'!$B$26,J81='FNC-ORD_prospetto riassuntivo'!$B$23+'FNC-ORD_prospetto riassuntivo'!$B$26),1,0))</f>
        <v>1</v>
      </c>
    </row>
    <row r="82" spans="10:17" x14ac:dyDescent="0.25">
      <c r="J82" s="84">
        <f>IF(J81=0,0,IF('FNC-ORD_prospetto riassuntivo'!$B$23+'FNC-ORD_prospetto riassuntivo'!$B$26&gt;J81,J81+1,0))</f>
        <v>80</v>
      </c>
      <c r="K82" s="85">
        <f>O81*'FNC-ORD_prospetto riassuntivo'!$B$28*Q82</f>
        <v>59.983240224361573</v>
      </c>
      <c r="L82" s="85">
        <f t="shared" si="7"/>
        <v>1665.5932567880357</v>
      </c>
      <c r="M82" s="85">
        <f t="shared" si="8"/>
        <v>1725.5764970123973</v>
      </c>
      <c r="N82" s="86">
        <f t="shared" si="9"/>
        <v>122873.63794909448</v>
      </c>
      <c r="O82" s="85">
        <f>('FNC-ORD_prospetto riassuntivo'!$B$11-N82)*Q82</f>
        <v>27126.362050905518</v>
      </c>
      <c r="P82" s="85">
        <f>K82/(1+SUM('FNC-ORD_prospetto riassuntivo'!$B$29:$B$30)/'FNC-ORD_prospetto riassuntivo'!$B$24)^J82</f>
        <v>44.609517818605582</v>
      </c>
      <c r="Q82">
        <f>IF(J82=0,0,IF(OR(J82&lt;'FNC-ORD_prospetto riassuntivo'!$B$23+'FNC-ORD_prospetto riassuntivo'!$B$26,J82='FNC-ORD_prospetto riassuntivo'!$B$23+'FNC-ORD_prospetto riassuntivo'!$B$26),1,0))</f>
        <v>1</v>
      </c>
    </row>
    <row r="83" spans="10:17" x14ac:dyDescent="0.25">
      <c r="J83" s="84">
        <f>IF(J82=0,0,IF('FNC-ORD_prospetto riassuntivo'!$B$23+'FNC-ORD_prospetto riassuntivo'!$B$26&gt;J82,J82+1,0))</f>
        <v>81</v>
      </c>
      <c r="K83" s="85">
        <f>O82*'FNC-ORD_prospetto riassuntivo'!$B$28*Q83</f>
        <v>56.513254272719827</v>
      </c>
      <c r="L83" s="85">
        <f t="shared" si="7"/>
        <v>1669.0632427396774</v>
      </c>
      <c r="M83" s="85">
        <f t="shared" si="8"/>
        <v>1725.5764970123973</v>
      </c>
      <c r="N83" s="86">
        <f t="shared" si="9"/>
        <v>124542.70119183416</v>
      </c>
      <c r="O83" s="85">
        <f>('FNC-ORD_prospetto riassuntivo'!$B$11-N83)*Q83</f>
        <v>25457.29880816584</v>
      </c>
      <c r="P83" s="85">
        <f>K83/(1+SUM('FNC-ORD_prospetto riassuntivo'!$B$29:$B$30)/'FNC-ORD_prospetto riassuntivo'!$B$24)^J83</f>
        <v>41.873609003912314</v>
      </c>
      <c r="Q83">
        <f>IF(J83=0,0,IF(OR(J83&lt;'FNC-ORD_prospetto riassuntivo'!$B$23+'FNC-ORD_prospetto riassuntivo'!$B$26,J83='FNC-ORD_prospetto riassuntivo'!$B$23+'FNC-ORD_prospetto riassuntivo'!$B$26),1,0))</f>
        <v>1</v>
      </c>
    </row>
    <row r="84" spans="10:17" x14ac:dyDescent="0.25">
      <c r="J84" s="84">
        <f>IF(J83=0,0,IF('FNC-ORD_prospetto riassuntivo'!$B$23+'FNC-ORD_prospetto riassuntivo'!$B$26&gt;J83,J83+1,0))</f>
        <v>82</v>
      </c>
      <c r="K84" s="85">
        <f>O83*'FNC-ORD_prospetto riassuntivo'!$B$28*Q84</f>
        <v>53.036039183678831</v>
      </c>
      <c r="L84" s="85">
        <f t="shared" si="7"/>
        <v>1672.5404578287184</v>
      </c>
      <c r="M84" s="85">
        <f t="shared" si="8"/>
        <v>1725.5764970123973</v>
      </c>
      <c r="N84" s="86">
        <f t="shared" si="9"/>
        <v>126215.24164966287</v>
      </c>
      <c r="O84" s="85">
        <f>('FNC-ORD_prospetto riassuntivo'!$B$11-N84)*Q84</f>
        <v>23784.758350337128</v>
      </c>
      <c r="P84" s="85">
        <f>K84/(1+SUM('FNC-ORD_prospetto riassuntivo'!$B$29:$B$30)/'FNC-ORD_prospetto riassuntivo'!$B$24)^J84</f>
        <v>39.151970956508976</v>
      </c>
      <c r="Q84">
        <f>IF(J84=0,0,IF(OR(J84&lt;'FNC-ORD_prospetto riassuntivo'!$B$23+'FNC-ORD_prospetto riassuntivo'!$B$26,J84='FNC-ORD_prospetto riassuntivo'!$B$23+'FNC-ORD_prospetto riassuntivo'!$B$26),1,0))</f>
        <v>1</v>
      </c>
    </row>
    <row r="85" spans="10:17" x14ac:dyDescent="0.25">
      <c r="J85" s="84">
        <f>IF(J84=0,0,IF('FNC-ORD_prospetto riassuntivo'!$B$23+'FNC-ORD_prospetto riassuntivo'!$B$26&gt;J84,J84+1,0))</f>
        <v>83</v>
      </c>
      <c r="K85" s="85">
        <f>O84*'FNC-ORD_prospetto riassuntivo'!$B$28*Q85</f>
        <v>49.551579896535685</v>
      </c>
      <c r="L85" s="85">
        <f t="shared" si="7"/>
        <v>1676.0249171158616</v>
      </c>
      <c r="M85" s="85">
        <f t="shared" si="8"/>
        <v>1725.5764970123973</v>
      </c>
      <c r="N85" s="86">
        <f t="shared" si="9"/>
        <v>127891.26656677874</v>
      </c>
      <c r="O85" s="85">
        <f>('FNC-ORD_prospetto riassuntivo'!$B$11-N85)*Q85</f>
        <v>22108.733433221263</v>
      </c>
      <c r="P85" s="85">
        <f>K85/(1+SUM('FNC-ORD_prospetto riassuntivo'!$B$29:$B$30)/'FNC-ORD_prospetto riassuntivo'!$B$24)^J85</f>
        <v>36.44454421193894</v>
      </c>
      <c r="Q85">
        <f>IF(J85=0,0,IF(OR(J85&lt;'FNC-ORD_prospetto riassuntivo'!$B$23+'FNC-ORD_prospetto riassuntivo'!$B$26,J85='FNC-ORD_prospetto riassuntivo'!$B$23+'FNC-ORD_prospetto riassuntivo'!$B$26),1,0))</f>
        <v>1</v>
      </c>
    </row>
    <row r="86" spans="10:17" x14ac:dyDescent="0.25">
      <c r="J86" s="84">
        <f>IF(J85=0,0,IF('FNC-ORD_prospetto riassuntivo'!$B$23+'FNC-ORD_prospetto riassuntivo'!$B$26&gt;J85,J85+1,0))</f>
        <v>84</v>
      </c>
      <c r="K86" s="85">
        <f>O85*'FNC-ORD_prospetto riassuntivo'!$B$28*Q86</f>
        <v>46.059861319210967</v>
      </c>
      <c r="L86" s="85">
        <f t="shared" si="7"/>
        <v>1679.5166356931863</v>
      </c>
      <c r="M86" s="85">
        <f t="shared" si="8"/>
        <v>1725.5764970123973</v>
      </c>
      <c r="N86" s="86">
        <f t="shared" si="9"/>
        <v>129570.78320247192</v>
      </c>
      <c r="O86" s="85">
        <f>('FNC-ORD_prospetto riassuntivo'!$B$11-N86)*Q86</f>
        <v>20429.216797528075</v>
      </c>
      <c r="P86" s="85">
        <f>K86/(1+SUM('FNC-ORD_prospetto riassuntivo'!$B$29:$B$30)/'FNC-ORD_prospetto riassuntivo'!$B$24)^J86</f>
        <v>33.751269536355608</v>
      </c>
      <c r="Q86">
        <f>IF(J86=0,0,IF(OR(J86&lt;'FNC-ORD_prospetto riassuntivo'!$B$23+'FNC-ORD_prospetto riassuntivo'!$B$26,J86='FNC-ORD_prospetto riassuntivo'!$B$23+'FNC-ORD_prospetto riassuntivo'!$B$26),1,0))</f>
        <v>1</v>
      </c>
    </row>
    <row r="87" spans="10:17" x14ac:dyDescent="0.25">
      <c r="J87" s="84">
        <f>IF(J86=0,0,IF('FNC-ORD_prospetto riassuntivo'!$B$23+'FNC-ORD_prospetto riassuntivo'!$B$26&gt;J86,J86+1,0))</f>
        <v>85</v>
      </c>
      <c r="K87" s="85">
        <f>O86*'FNC-ORD_prospetto riassuntivo'!$B$28*Q87</f>
        <v>42.560868328183489</v>
      </c>
      <c r="L87" s="85">
        <f t="shared" si="7"/>
        <v>1683.0156286842139</v>
      </c>
      <c r="M87" s="85">
        <f t="shared" si="8"/>
        <v>1725.5764970123973</v>
      </c>
      <c r="N87" s="86">
        <f t="shared" si="9"/>
        <v>131253.79883115613</v>
      </c>
      <c r="O87" s="85">
        <f>('FNC-ORD_prospetto riassuntivo'!$B$11-N87)*Q87</f>
        <v>18746.201168843865</v>
      </c>
      <c r="P87" s="85">
        <f>K87/(1+SUM('FNC-ORD_prospetto riassuntivo'!$B$29:$B$30)/'FNC-ORD_prospetto riassuntivo'!$B$24)^J87</f>
        <v>31.072087925652831</v>
      </c>
      <c r="Q87">
        <f>IF(J87=0,0,IF(OR(J87&lt;'FNC-ORD_prospetto riassuntivo'!$B$23+'FNC-ORD_prospetto riassuntivo'!$B$26,J87='FNC-ORD_prospetto riassuntivo'!$B$23+'FNC-ORD_prospetto riassuntivo'!$B$26),1,0))</f>
        <v>1</v>
      </c>
    </row>
    <row r="88" spans="10:17" x14ac:dyDescent="0.25">
      <c r="J88" s="84">
        <f>IF(J87=0,0,IF('FNC-ORD_prospetto riassuntivo'!$B$23+'FNC-ORD_prospetto riassuntivo'!$B$26&gt;J87,J87+1,0))</f>
        <v>86</v>
      </c>
      <c r="K88" s="85">
        <f>O87*'FNC-ORD_prospetto riassuntivo'!$B$28*Q88</f>
        <v>39.054585768424715</v>
      </c>
      <c r="L88" s="85">
        <f t="shared" si="7"/>
        <v>1686.5219112439727</v>
      </c>
      <c r="M88" s="85">
        <f t="shared" si="8"/>
        <v>1725.5764970123973</v>
      </c>
      <c r="N88" s="86">
        <f t="shared" si="9"/>
        <v>132940.3207424001</v>
      </c>
      <c r="O88" s="85">
        <f>('FNC-ORD_prospetto riassuntivo'!$B$11-N88)*Q88</f>
        <v>17059.679257599899</v>
      </c>
      <c r="P88" s="85">
        <f>K88/(1+SUM('FNC-ORD_prospetto riassuntivo'!$B$29:$B$30)/'FNC-ORD_prospetto riassuntivo'!$B$24)^J88</f>
        <v>28.406940604598404</v>
      </c>
      <c r="Q88">
        <f>IF(J88=0,0,IF(OR(J88&lt;'FNC-ORD_prospetto riassuntivo'!$B$23+'FNC-ORD_prospetto riassuntivo'!$B$26,J88='FNC-ORD_prospetto riassuntivo'!$B$23+'FNC-ORD_prospetto riassuntivo'!$B$26),1,0))</f>
        <v>1</v>
      </c>
    </row>
    <row r="89" spans="10:17" x14ac:dyDescent="0.25">
      <c r="J89" s="84">
        <f>IF(J88=0,0,IF('FNC-ORD_prospetto riassuntivo'!$B$23+'FNC-ORD_prospetto riassuntivo'!$B$26&gt;J88,J88+1,0))</f>
        <v>87</v>
      </c>
      <c r="K89" s="85">
        <f>O88*'FNC-ORD_prospetto riassuntivo'!$B$28*Q89</f>
        <v>35.540998453333124</v>
      </c>
      <c r="L89" s="85">
        <f t="shared" si="7"/>
        <v>1690.0354985590643</v>
      </c>
      <c r="M89" s="85">
        <f t="shared" si="8"/>
        <v>1725.5764970123973</v>
      </c>
      <c r="N89" s="86">
        <f t="shared" si="9"/>
        <v>134630.35624095917</v>
      </c>
      <c r="O89" s="85">
        <f>('FNC-ORD_prospetto riassuntivo'!$B$11-N89)*Q89</f>
        <v>15369.643759040831</v>
      </c>
      <c r="P89" s="85">
        <f>K89/(1+SUM('FNC-ORD_prospetto riassuntivo'!$B$29:$B$30)/'FNC-ORD_prospetto riassuntivo'!$B$24)^J89</f>
        <v>25.755769025970839</v>
      </c>
      <c r="Q89">
        <f>IF(J89=0,0,IF(OR(J89&lt;'FNC-ORD_prospetto riassuntivo'!$B$23+'FNC-ORD_prospetto riassuntivo'!$B$26,J89='FNC-ORD_prospetto riassuntivo'!$B$23+'FNC-ORD_prospetto riassuntivo'!$B$26),1,0))</f>
        <v>1</v>
      </c>
    </row>
    <row r="90" spans="10:17" x14ac:dyDescent="0.25">
      <c r="J90" s="84">
        <f>IF(J89=0,0,IF('FNC-ORD_prospetto riassuntivo'!$B$23+'FNC-ORD_prospetto riassuntivo'!$B$26&gt;J89,J89+1,0))</f>
        <v>88</v>
      </c>
      <c r="K90" s="85">
        <f>O89*'FNC-ORD_prospetto riassuntivo'!$B$28*Q90</f>
        <v>32.020091164668401</v>
      </c>
      <c r="L90" s="85">
        <f t="shared" si="7"/>
        <v>1693.5564058477289</v>
      </c>
      <c r="M90" s="85">
        <f t="shared" si="8"/>
        <v>1725.5764970123973</v>
      </c>
      <c r="N90" s="86">
        <f t="shared" si="9"/>
        <v>136323.91264680689</v>
      </c>
      <c r="O90" s="85">
        <f>('FNC-ORD_prospetto riassuntivo'!$B$11-N90)*Q90</f>
        <v>13676.087353193114</v>
      </c>
      <c r="P90" s="85">
        <f>K90/(1+SUM('FNC-ORD_prospetto riassuntivo'!$B$29:$B$30)/'FNC-ORD_prospetto riassuntivo'!$B$24)^J90</f>
        <v>23.118514869699368</v>
      </c>
      <c r="Q90">
        <f>IF(J90=0,0,IF(OR(J90&lt;'FNC-ORD_prospetto riassuntivo'!$B$23+'FNC-ORD_prospetto riassuntivo'!$B$26,J90='FNC-ORD_prospetto riassuntivo'!$B$23+'FNC-ORD_prospetto riassuntivo'!$B$26),1,0))</f>
        <v>1</v>
      </c>
    </row>
    <row r="91" spans="10:17" x14ac:dyDescent="0.25">
      <c r="J91" s="84">
        <f>IF(J90=0,0,IF('FNC-ORD_prospetto riassuntivo'!$B$23+'FNC-ORD_prospetto riassuntivo'!$B$26&gt;J90,J90+1,0))</f>
        <v>89</v>
      </c>
      <c r="K91" s="85">
        <f>O90*'FNC-ORD_prospetto riassuntivo'!$B$28*Q91</f>
        <v>28.491848652485654</v>
      </c>
      <c r="L91" s="85">
        <f t="shared" si="7"/>
        <v>1697.0846483599116</v>
      </c>
      <c r="M91" s="85">
        <f t="shared" si="8"/>
        <v>1725.5764970123973</v>
      </c>
      <c r="N91" s="86">
        <f t="shared" si="9"/>
        <v>138020.9972951668</v>
      </c>
      <c r="O91" s="85">
        <f>('FNC-ORD_prospetto riassuntivo'!$B$11-N91)*Q91</f>
        <v>11979.002704833198</v>
      </c>
      <c r="P91" s="85">
        <f>K91/(1+SUM('FNC-ORD_prospetto riassuntivo'!$B$29:$B$30)/'FNC-ORD_prospetto riassuntivo'!$B$24)^J91</f>
        <v>20.495120042007247</v>
      </c>
      <c r="Q91">
        <f>IF(J91=0,0,IF(OR(J91&lt;'FNC-ORD_prospetto riassuntivo'!$B$23+'FNC-ORD_prospetto riassuntivo'!$B$26,J91='FNC-ORD_prospetto riassuntivo'!$B$23+'FNC-ORD_prospetto riassuntivo'!$B$26),1,0))</f>
        <v>1</v>
      </c>
    </row>
    <row r="92" spans="10:17" x14ac:dyDescent="0.25">
      <c r="J92" s="84">
        <f>IF(J91=0,0,IF('FNC-ORD_prospetto riassuntivo'!$B$23+'FNC-ORD_prospetto riassuntivo'!$B$26&gt;J91,J91+1,0))</f>
        <v>90</v>
      </c>
      <c r="K92" s="85">
        <f>O91*'FNC-ORD_prospetto riassuntivo'!$B$28*Q92</f>
        <v>24.956255635069162</v>
      </c>
      <c r="L92" s="85">
        <f t="shared" si="7"/>
        <v>1700.6202413773283</v>
      </c>
      <c r="M92" s="85">
        <f t="shared" si="8"/>
        <v>1725.5764970123973</v>
      </c>
      <c r="N92" s="86">
        <f t="shared" si="9"/>
        <v>139721.61753654413</v>
      </c>
      <c r="O92" s="85">
        <f>('FNC-ORD_prospetto riassuntivo'!$B$11-N92)*Q92</f>
        <v>10278.38246345587</v>
      </c>
      <c r="P92" s="85">
        <f>K92/(1+SUM('FNC-ORD_prospetto riassuntivo'!$B$29:$B$30)/'FNC-ORD_prospetto riassuntivo'!$B$24)^J92</f>
        <v>17.885526674558001</v>
      </c>
      <c r="Q92">
        <f>IF(J92=0,0,IF(OR(J92&lt;'FNC-ORD_prospetto riassuntivo'!$B$23+'FNC-ORD_prospetto riassuntivo'!$B$26,J92='FNC-ORD_prospetto riassuntivo'!$B$23+'FNC-ORD_prospetto riassuntivo'!$B$26),1,0))</f>
        <v>1</v>
      </c>
    </row>
    <row r="93" spans="10:17" x14ac:dyDescent="0.25">
      <c r="J93" s="84">
        <f>IF(J92=0,0,IF('FNC-ORD_prospetto riassuntivo'!$B$23+'FNC-ORD_prospetto riassuntivo'!$B$26&gt;J92,J92+1,0))</f>
        <v>91</v>
      </c>
      <c r="K93" s="85">
        <f>O92*'FNC-ORD_prospetto riassuntivo'!$B$28*Q93</f>
        <v>21.413296798866394</v>
      </c>
      <c r="L93" s="85">
        <f t="shared" si="7"/>
        <v>1704.1632002135309</v>
      </c>
      <c r="M93" s="85">
        <f t="shared" si="8"/>
        <v>1725.5764970123973</v>
      </c>
      <c r="N93" s="86">
        <f t="shared" si="9"/>
        <v>141425.78073675768</v>
      </c>
      <c r="O93" s="85">
        <f>('FNC-ORD_prospetto riassuntivo'!$B$11-N93)*Q93</f>
        <v>8574.2192632423248</v>
      </c>
      <c r="P93" s="85">
        <f>K93/(1+SUM('FNC-ORD_prospetto riassuntivo'!$B$29:$B$30)/'FNC-ORD_prospetto riassuntivo'!$B$24)^J93</f>
        <v>15.289677123605184</v>
      </c>
      <c r="Q93">
        <f>IF(J93=0,0,IF(OR(J93&lt;'FNC-ORD_prospetto riassuntivo'!$B$23+'FNC-ORD_prospetto riassuntivo'!$B$26,J93='FNC-ORD_prospetto riassuntivo'!$B$23+'FNC-ORD_prospetto riassuntivo'!$B$26),1,0))</f>
        <v>1</v>
      </c>
    </row>
    <row r="94" spans="10:17" x14ac:dyDescent="0.25">
      <c r="J94" s="84">
        <f>IF(J93=0,0,IF('FNC-ORD_prospetto riassuntivo'!$B$23+'FNC-ORD_prospetto riassuntivo'!$B$26&gt;J93,J93+1,0))</f>
        <v>92</v>
      </c>
      <c r="K94" s="85">
        <f>O93*'FNC-ORD_prospetto riassuntivo'!$B$28*Q94</f>
        <v>17.862956798421511</v>
      </c>
      <c r="L94" s="85">
        <f t="shared" si="7"/>
        <v>1707.7135402139759</v>
      </c>
      <c r="M94" s="85">
        <f t="shared" si="8"/>
        <v>1725.5764970123973</v>
      </c>
      <c r="N94" s="86">
        <f t="shared" si="9"/>
        <v>143133.49427697164</v>
      </c>
      <c r="O94" s="85">
        <f>('FNC-ORD_prospetto riassuntivo'!$B$11-N94)*Q94</f>
        <v>6866.5057230283564</v>
      </c>
      <c r="P94" s="85">
        <f>K94/(1+SUM('FNC-ORD_prospetto riassuntivo'!$B$29:$B$30)/'FNC-ORD_prospetto riassuntivo'!$B$24)^J94</f>
        <v>12.707513969144983</v>
      </c>
      <c r="Q94">
        <f>IF(J94=0,0,IF(OR(J94&lt;'FNC-ORD_prospetto riassuntivo'!$B$23+'FNC-ORD_prospetto riassuntivo'!$B$26,J94='FNC-ORD_prospetto riassuntivo'!$B$23+'FNC-ORD_prospetto riassuntivo'!$B$26),1,0))</f>
        <v>1</v>
      </c>
    </row>
    <row r="95" spans="10:17" x14ac:dyDescent="0.25">
      <c r="J95" s="84">
        <f>IF(J94=0,0,IF('FNC-ORD_prospetto riassuntivo'!$B$23+'FNC-ORD_prospetto riassuntivo'!$B$26&gt;J94,J94+1,0))</f>
        <v>93</v>
      </c>
      <c r="K95" s="85">
        <f>O94*'FNC-ORD_prospetto riassuntivo'!$B$28*Q95</f>
        <v>14.305220256309076</v>
      </c>
      <c r="L95" s="85">
        <f t="shared" si="7"/>
        <v>1711.2712767560884</v>
      </c>
      <c r="M95" s="85">
        <f t="shared" si="8"/>
        <v>1725.5764970123973</v>
      </c>
      <c r="N95" s="86">
        <f t="shared" si="9"/>
        <v>144844.76555372775</v>
      </c>
      <c r="O95" s="85">
        <f>('FNC-ORD_prospetto riassuntivo'!$B$11-N95)*Q95</f>
        <v>5155.234446272254</v>
      </c>
      <c r="P95" s="85">
        <f>K95/(1+SUM('FNC-ORD_prospetto riassuntivo'!$B$29:$B$30)/'FNC-ORD_prospetto riassuntivo'!$B$24)^J95</f>
        <v>10.138980014072299</v>
      </c>
      <c r="Q95">
        <f>IF(J95=0,0,IF(OR(J95&lt;'FNC-ORD_prospetto riassuntivo'!$B$23+'FNC-ORD_prospetto riassuntivo'!$B$26,J95='FNC-ORD_prospetto riassuntivo'!$B$23+'FNC-ORD_prospetto riassuntivo'!$B$26),1,0))</f>
        <v>1</v>
      </c>
    </row>
    <row r="96" spans="10:17" x14ac:dyDescent="0.25">
      <c r="J96" s="84">
        <f>IF(J95=0,0,IF('FNC-ORD_prospetto riassuntivo'!$B$23+'FNC-ORD_prospetto riassuntivo'!$B$26&gt;J95,J95+1,0))</f>
        <v>94</v>
      </c>
      <c r="K96" s="85">
        <f>O95*'FNC-ORD_prospetto riassuntivo'!$B$28*Q96</f>
        <v>10.740071763067196</v>
      </c>
      <c r="L96" s="85">
        <f t="shared" si="7"/>
        <v>1714.8364252493302</v>
      </c>
      <c r="M96" s="85">
        <f t="shared" si="8"/>
        <v>1725.5764970123973</v>
      </c>
      <c r="N96" s="86">
        <f t="shared" si="9"/>
        <v>146559.60197897707</v>
      </c>
      <c r="O96" s="85">
        <f>('FNC-ORD_prospetto riassuntivo'!$B$11-N96)*Q96</f>
        <v>3440.3980210229347</v>
      </c>
      <c r="P96" s="85">
        <f>K96/(1+SUM('FNC-ORD_prospetto riassuntivo'!$B$29:$B$30)/'FNC-ORD_prospetto riassuntivo'!$B$24)^J96</f>
        <v>7.584018283339593</v>
      </c>
      <c r="Q96">
        <f>IF(J96=0,0,IF(OR(J96&lt;'FNC-ORD_prospetto riassuntivo'!$B$23+'FNC-ORD_prospetto riassuntivo'!$B$26,J96='FNC-ORD_prospetto riassuntivo'!$B$23+'FNC-ORD_prospetto riassuntivo'!$B$26),1,0))</f>
        <v>1</v>
      </c>
    </row>
    <row r="97" spans="10:17" x14ac:dyDescent="0.25">
      <c r="J97" s="84">
        <f>IF(J96=0,0,IF('FNC-ORD_prospetto riassuntivo'!$B$23+'FNC-ORD_prospetto riassuntivo'!$B$26&gt;J96,J96+1,0))</f>
        <v>95</v>
      </c>
      <c r="K97" s="85">
        <f>O96*'FNC-ORD_prospetto riassuntivo'!$B$28*Q97</f>
        <v>7.1674958771311141</v>
      </c>
      <c r="L97" s="85">
        <f t="shared" si="7"/>
        <v>1718.4090011352662</v>
      </c>
      <c r="M97" s="85">
        <f t="shared" si="8"/>
        <v>1725.5764970123973</v>
      </c>
      <c r="N97" s="86">
        <f t="shared" si="9"/>
        <v>148278.01098011233</v>
      </c>
      <c r="O97" s="85">
        <f>('FNC-ORD_prospetto riassuntivo'!$B$11-N97)*Q97</f>
        <v>1721.9890198876674</v>
      </c>
      <c r="P97" s="85">
        <f>K97/(1+SUM('FNC-ORD_prospetto riassuntivo'!$B$29:$B$30)/'FNC-ORD_prospetto riassuntivo'!$B$24)^J97</f>
        <v>5.0425720231193285</v>
      </c>
      <c r="Q97">
        <f>IF(J97=0,0,IF(OR(J97&lt;'FNC-ORD_prospetto riassuntivo'!$B$23+'FNC-ORD_prospetto riassuntivo'!$B$26,J97='FNC-ORD_prospetto riassuntivo'!$B$23+'FNC-ORD_prospetto riassuntivo'!$B$26),1,0))</f>
        <v>1</v>
      </c>
    </row>
    <row r="98" spans="10:17" x14ac:dyDescent="0.25">
      <c r="J98" s="84">
        <f>IF(J97=0,0,IF('FNC-ORD_prospetto riassuntivo'!$B$23+'FNC-ORD_prospetto riassuntivo'!$B$26&gt;J97,J97+1,0))</f>
        <v>96</v>
      </c>
      <c r="K98" s="85">
        <f>O97*'FNC-ORD_prospetto riassuntivo'!$B$28*Q98</f>
        <v>3.5874771247659738</v>
      </c>
      <c r="L98" s="85">
        <f t="shared" si="7"/>
        <v>1721.9890198876315</v>
      </c>
      <c r="M98" s="85">
        <f t="shared" si="8"/>
        <v>1725.5764970123973</v>
      </c>
      <c r="N98" s="86">
        <f t="shared" si="9"/>
        <v>149999.99999999997</v>
      </c>
      <c r="O98" s="85">
        <f>('FNC-ORD_prospetto riassuntivo'!$B$11-N98)*Q98</f>
        <v>2.9103830456733704E-11</v>
      </c>
      <c r="P98" s="85">
        <f>K98/(1+SUM('FNC-ORD_prospetto riassuntivo'!$B$29:$B$30)/'FNC-ORD_prospetto riassuntivo'!$B$24)^J98</f>
        <v>2.5145846999690629</v>
      </c>
      <c r="Q98">
        <f>IF(J98=0,0,IF(OR(J98&lt;'FNC-ORD_prospetto riassuntivo'!$B$23+'FNC-ORD_prospetto riassuntivo'!$B$26,J98='FNC-ORD_prospetto riassuntivo'!$B$23+'FNC-ORD_prospetto riassuntivo'!$B$26),1,0))</f>
        <v>1</v>
      </c>
    </row>
  </sheetData>
  <sheetProtection algorithmName="SHA-512" hashValue="BrwuKiKoF9ysC5rMKeeUTcazmLRITvaMx10MVqefleBP/+WflKjMWgGXi11DDa2XXLHhwky3omg8Nn+TYKsCAw==" saltValue="98k/oxqTzoDG0tUhm9oQFw==" spinCount="100000" sheet="1" objects="1" scenarios="1"/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D6DB-4EC2-40BA-A329-87F8D7430CD8}">
  <dimension ref="A1:H85"/>
  <sheetViews>
    <sheetView workbookViewId="0">
      <selection activeCell="B12" sqref="B12"/>
    </sheetView>
  </sheetViews>
  <sheetFormatPr defaultRowHeight="13.5" x14ac:dyDescent="0.25"/>
  <cols>
    <col min="1" max="1" width="38.28515625" bestFit="1" customWidth="1"/>
    <col min="2" max="2" width="19" bestFit="1" customWidth="1"/>
    <col min="3" max="3" width="11.140625" bestFit="1" customWidth="1"/>
    <col min="4" max="4" width="15.7109375" bestFit="1" customWidth="1"/>
    <col min="5" max="5" width="12.140625" bestFit="1" customWidth="1"/>
  </cols>
  <sheetData>
    <row r="1" spans="1:8" ht="21.75" thickTop="1" thickBot="1" x14ac:dyDescent="0.35">
      <c r="A1" s="38"/>
      <c r="B1" s="39"/>
      <c r="C1" s="40" t="s">
        <v>30</v>
      </c>
      <c r="D1" s="64">
        <f>B85</f>
        <v>5113.4546696078432</v>
      </c>
      <c r="E1" s="41"/>
      <c r="F1" s="41"/>
      <c r="G1" s="42"/>
      <c r="H1" s="42"/>
    </row>
    <row r="2" spans="1:8" ht="14.25" thickTop="1" x14ac:dyDescent="0.25">
      <c r="A2" s="43"/>
      <c r="B2" s="44"/>
      <c r="C2" s="44"/>
      <c r="D2" s="44"/>
      <c r="E2" s="44"/>
      <c r="F2" s="41"/>
      <c r="G2" s="42"/>
      <c r="H2" s="42"/>
    </row>
    <row r="3" spans="1:8" x14ac:dyDescent="0.25">
      <c r="A3" s="45"/>
      <c r="B3" s="41"/>
      <c r="C3" s="41"/>
      <c r="D3" s="41"/>
      <c r="E3" s="41"/>
      <c r="F3" s="41"/>
      <c r="G3" s="42"/>
      <c r="H3" s="42"/>
    </row>
    <row r="4" spans="1:8" x14ac:dyDescent="0.25">
      <c r="A4" s="46" t="s">
        <v>31</v>
      </c>
      <c r="B4" s="75">
        <f>'FNC-ORD_prospetto riassuntivo'!B35</f>
        <v>9.7999999999999997E-3</v>
      </c>
      <c r="C4" s="42"/>
      <c r="D4" s="42"/>
      <c r="E4" s="42"/>
      <c r="F4" s="47"/>
      <c r="G4" s="42"/>
      <c r="H4" s="42"/>
    </row>
    <row r="5" spans="1:8" x14ac:dyDescent="0.25">
      <c r="A5" s="46" t="s">
        <v>32</v>
      </c>
      <c r="B5" s="80">
        <v>6.0000000000000001E-3</v>
      </c>
      <c r="C5" s="42"/>
      <c r="D5" s="42"/>
      <c r="E5" s="42"/>
      <c r="F5" s="42"/>
      <c r="G5" s="42"/>
      <c r="H5" s="42"/>
    </row>
    <row r="6" spans="1:8" x14ac:dyDescent="0.25">
      <c r="A6" s="46" t="s">
        <v>33</v>
      </c>
      <c r="B6" s="80">
        <v>3.2000000000000002E-3</v>
      </c>
      <c r="C6" s="42"/>
      <c r="D6" s="48"/>
      <c r="E6" s="42"/>
      <c r="F6" s="42"/>
      <c r="G6" s="42"/>
      <c r="H6" s="42"/>
    </row>
    <row r="7" spans="1:8" x14ac:dyDescent="0.25">
      <c r="A7" s="46" t="s">
        <v>34</v>
      </c>
      <c r="B7" s="76">
        <v>0</v>
      </c>
      <c r="C7" s="42"/>
      <c r="D7" s="48"/>
      <c r="E7" s="42"/>
      <c r="F7" s="42"/>
      <c r="G7" s="42"/>
      <c r="H7" s="42"/>
    </row>
    <row r="8" spans="1:8" x14ac:dyDescent="0.25">
      <c r="A8" s="46" t="s">
        <v>35</v>
      </c>
      <c r="B8" s="77">
        <f>'FNC-ORD_prospetto riassuntivo'!B11</f>
        <v>150000</v>
      </c>
      <c r="C8" s="42"/>
      <c r="D8" s="42"/>
      <c r="E8" s="49"/>
      <c r="F8" s="42"/>
      <c r="G8" s="42"/>
      <c r="H8" s="42"/>
    </row>
    <row r="9" spans="1:8" x14ac:dyDescent="0.25">
      <c r="A9" s="46" t="s">
        <v>36</v>
      </c>
      <c r="B9" s="75">
        <f>IF('FNC-ORD_prospetto riassuntivo'!B18="NO",70%*'FNC-ORD_prospetto riassuntivo'!B12,10%*'FNC-ORD_prospetto riassuntivo'!B12)</f>
        <v>0.42</v>
      </c>
      <c r="C9" s="42"/>
      <c r="D9" s="42"/>
      <c r="E9" s="42"/>
      <c r="F9" s="42"/>
      <c r="G9" s="42"/>
      <c r="H9" s="42"/>
    </row>
    <row r="10" spans="1:8" x14ac:dyDescent="0.25">
      <c r="A10" s="46" t="s">
        <v>37</v>
      </c>
      <c r="B10" s="81">
        <f>+B8*B9</f>
        <v>63000</v>
      </c>
      <c r="C10" s="42"/>
      <c r="D10" s="42"/>
      <c r="E10" s="42"/>
      <c r="F10" s="42"/>
      <c r="G10" s="42"/>
      <c r="H10" s="42"/>
    </row>
    <row r="11" spans="1:8" x14ac:dyDescent="0.25">
      <c r="A11" s="46" t="s">
        <v>38</v>
      </c>
      <c r="B11" s="78">
        <f>ROUNDUP('FNC-ORD_prospetto riassuntivo'!B16/12,0)</f>
        <v>8</v>
      </c>
      <c r="C11" s="42"/>
      <c r="D11" s="42"/>
      <c r="E11" s="42"/>
      <c r="F11" s="42"/>
      <c r="G11" s="42"/>
      <c r="H11" s="42"/>
    </row>
    <row r="12" spans="1:8" x14ac:dyDescent="0.25">
      <c r="A12" s="46" t="s">
        <v>39</v>
      </c>
      <c r="B12" s="79">
        <f>'FNC-ORD_prospetto riassuntivo'!B29+1%</f>
        <v>4.4500000000000005E-2</v>
      </c>
      <c r="C12" s="42"/>
      <c r="D12" s="42"/>
      <c r="E12" s="42"/>
      <c r="F12" s="42"/>
      <c r="G12" s="42"/>
      <c r="H12" s="42"/>
    </row>
    <row r="13" spans="1:8" x14ac:dyDescent="0.25">
      <c r="A13" s="46"/>
      <c r="B13" s="42"/>
      <c r="C13" s="42"/>
      <c r="D13" s="42"/>
      <c r="E13" s="42"/>
      <c r="F13" s="42"/>
      <c r="G13" s="42"/>
      <c r="H13" s="42"/>
    </row>
    <row r="14" spans="1:8" x14ac:dyDescent="0.25">
      <c r="A14" s="50" t="s">
        <v>40</v>
      </c>
      <c r="B14" s="51">
        <f>-PMT(B12,B11,B8)</f>
        <v>22695.015150414332</v>
      </c>
      <c r="C14" s="41"/>
      <c r="D14" s="52"/>
      <c r="E14" s="41"/>
      <c r="F14" s="41"/>
      <c r="G14" s="42"/>
      <c r="H14" s="42"/>
    </row>
    <row r="15" spans="1:8" x14ac:dyDescent="0.25">
      <c r="A15" s="50" t="s">
        <v>41</v>
      </c>
      <c r="B15" s="46" t="s">
        <v>42</v>
      </c>
      <c r="C15" s="53" t="s">
        <v>43</v>
      </c>
      <c r="D15" s="54" t="s">
        <v>44</v>
      </c>
      <c r="E15" s="41" t="s">
        <v>45</v>
      </c>
      <c r="F15" s="42"/>
      <c r="G15" s="42"/>
      <c r="H15" s="42"/>
    </row>
    <row r="16" spans="1:8" x14ac:dyDescent="0.25">
      <c r="A16" s="46">
        <v>1</v>
      </c>
      <c r="B16" s="55">
        <f>B8</f>
        <v>150000</v>
      </c>
      <c r="C16" s="49">
        <f t="shared" ref="C16:C45" si="0">B$12*B16</f>
        <v>6675.0000000000009</v>
      </c>
      <c r="D16" s="56">
        <f t="shared" ref="D16:D45" si="1">E16-C16</f>
        <v>16020.015150414332</v>
      </c>
      <c r="E16" s="57">
        <f t="shared" ref="E16:E45" si="2">IF(B$11&gt;=A16,B$14,IF(B$11&lt;A16,0))</f>
        <v>22695.015150414332</v>
      </c>
      <c r="F16" s="42"/>
      <c r="G16" s="57"/>
      <c r="H16" s="42"/>
    </row>
    <row r="17" spans="1:8" x14ac:dyDescent="0.25">
      <c r="A17" s="46">
        <v>2</v>
      </c>
      <c r="B17" s="55">
        <f t="shared" ref="B17:B46" si="3">B16-D16</f>
        <v>133979.98484958566</v>
      </c>
      <c r="C17" s="49">
        <f t="shared" si="0"/>
        <v>5962.1093258065621</v>
      </c>
      <c r="D17" s="56">
        <f t="shared" si="1"/>
        <v>16732.905824607769</v>
      </c>
      <c r="E17" s="57">
        <f t="shared" si="2"/>
        <v>22695.015150414332</v>
      </c>
      <c r="F17" s="42"/>
      <c r="G17" s="57"/>
      <c r="H17" s="42"/>
    </row>
    <row r="18" spans="1:8" x14ac:dyDescent="0.25">
      <c r="A18" s="46">
        <v>3</v>
      </c>
      <c r="B18" s="55">
        <f t="shared" si="3"/>
        <v>117247.07902497789</v>
      </c>
      <c r="C18" s="49">
        <f t="shared" si="0"/>
        <v>5217.4950166115168</v>
      </c>
      <c r="D18" s="56">
        <f t="shared" si="1"/>
        <v>17477.520133802816</v>
      </c>
      <c r="E18" s="57">
        <f t="shared" si="2"/>
        <v>22695.015150414332</v>
      </c>
      <c r="F18" s="42"/>
      <c r="G18" s="57"/>
      <c r="H18" s="42"/>
    </row>
    <row r="19" spans="1:8" x14ac:dyDescent="0.25">
      <c r="A19" s="46">
        <v>4</v>
      </c>
      <c r="B19" s="55">
        <f t="shared" si="3"/>
        <v>99769.558891175082</v>
      </c>
      <c r="C19" s="49">
        <f t="shared" si="0"/>
        <v>4439.7453706572915</v>
      </c>
      <c r="D19" s="56">
        <f t="shared" si="1"/>
        <v>18255.26977975704</v>
      </c>
      <c r="E19" s="57">
        <f t="shared" si="2"/>
        <v>22695.015150414332</v>
      </c>
      <c r="F19" s="42"/>
      <c r="G19" s="57"/>
      <c r="H19" s="42"/>
    </row>
    <row r="20" spans="1:8" x14ac:dyDescent="0.25">
      <c r="A20" s="46">
        <v>5</v>
      </c>
      <c r="B20" s="55">
        <f t="shared" si="3"/>
        <v>81514.289111418038</v>
      </c>
      <c r="C20" s="49">
        <f t="shared" si="0"/>
        <v>3627.3858654581031</v>
      </c>
      <c r="D20" s="56">
        <f t="shared" si="1"/>
        <v>19067.629284956231</v>
      </c>
      <c r="E20" s="57">
        <f t="shared" si="2"/>
        <v>22695.015150414332</v>
      </c>
      <c r="F20" s="42"/>
      <c r="G20" s="57"/>
      <c r="H20" s="42"/>
    </row>
    <row r="21" spans="1:8" x14ac:dyDescent="0.25">
      <c r="A21" s="46">
        <v>6</v>
      </c>
      <c r="B21" s="55">
        <f t="shared" si="3"/>
        <v>62446.659826461808</v>
      </c>
      <c r="C21" s="49">
        <f t="shared" si="0"/>
        <v>2778.8763622775509</v>
      </c>
      <c r="D21" s="56">
        <f t="shared" si="1"/>
        <v>19916.138788136781</v>
      </c>
      <c r="E21" s="57">
        <f t="shared" si="2"/>
        <v>22695.015150414332</v>
      </c>
      <c r="F21" s="42"/>
      <c r="G21" s="57"/>
      <c r="H21" s="42"/>
    </row>
    <row r="22" spans="1:8" x14ac:dyDescent="0.25">
      <c r="A22" s="46">
        <v>7</v>
      </c>
      <c r="B22" s="55">
        <f t="shared" si="3"/>
        <v>42530.521038325023</v>
      </c>
      <c r="C22" s="49">
        <f t="shared" si="0"/>
        <v>1892.6081862054637</v>
      </c>
      <c r="D22" s="56">
        <f t="shared" si="1"/>
        <v>20802.406964208869</v>
      </c>
      <c r="E22" s="57">
        <f t="shared" si="2"/>
        <v>22695.015150414332</v>
      </c>
      <c r="F22" s="57"/>
      <c r="G22" s="42"/>
      <c r="H22" s="42"/>
    </row>
    <row r="23" spans="1:8" x14ac:dyDescent="0.25">
      <c r="A23" s="46">
        <v>8</v>
      </c>
      <c r="B23" s="55">
        <f t="shared" si="3"/>
        <v>21728.114074116154</v>
      </c>
      <c r="C23" s="49">
        <f t="shared" si="0"/>
        <v>966.90107629816896</v>
      </c>
      <c r="D23" s="56">
        <f t="shared" si="1"/>
        <v>21728.114074116162</v>
      </c>
      <c r="E23" s="57">
        <f t="shared" si="2"/>
        <v>22695.015150414332</v>
      </c>
      <c r="F23" s="42"/>
      <c r="G23" s="42"/>
      <c r="H23" s="42"/>
    </row>
    <row r="24" spans="1:8" x14ac:dyDescent="0.25">
      <c r="A24" s="46">
        <v>9</v>
      </c>
      <c r="B24" s="55">
        <f t="shared" si="3"/>
        <v>0</v>
      </c>
      <c r="C24" s="49">
        <f t="shared" si="0"/>
        <v>0</v>
      </c>
      <c r="D24" s="56">
        <f t="shared" si="1"/>
        <v>0</v>
      </c>
      <c r="E24" s="57">
        <f t="shared" si="2"/>
        <v>0</v>
      </c>
      <c r="F24" s="42"/>
      <c r="G24" s="42"/>
      <c r="H24" s="42"/>
    </row>
    <row r="25" spans="1:8" x14ac:dyDescent="0.25">
      <c r="A25" s="46">
        <v>10</v>
      </c>
      <c r="B25" s="55">
        <f t="shared" si="3"/>
        <v>0</v>
      </c>
      <c r="C25" s="49">
        <f t="shared" si="0"/>
        <v>0</v>
      </c>
      <c r="D25" s="56">
        <f t="shared" si="1"/>
        <v>0</v>
      </c>
      <c r="E25" s="57">
        <f t="shared" si="2"/>
        <v>0</v>
      </c>
      <c r="F25" s="42"/>
      <c r="G25" s="42"/>
      <c r="H25" s="42"/>
    </row>
    <row r="26" spans="1:8" x14ac:dyDescent="0.25">
      <c r="A26" s="46">
        <v>11</v>
      </c>
      <c r="B26" s="55">
        <f t="shared" si="3"/>
        <v>0</v>
      </c>
      <c r="C26" s="49">
        <f t="shared" si="0"/>
        <v>0</v>
      </c>
      <c r="D26" s="56">
        <f t="shared" si="1"/>
        <v>0</v>
      </c>
      <c r="E26" s="57">
        <f t="shared" si="2"/>
        <v>0</v>
      </c>
      <c r="F26" s="42"/>
      <c r="G26" s="42"/>
      <c r="H26" s="42"/>
    </row>
    <row r="27" spans="1:8" x14ac:dyDescent="0.25">
      <c r="A27" s="46">
        <v>12</v>
      </c>
      <c r="B27" s="55">
        <f t="shared" si="3"/>
        <v>0</v>
      </c>
      <c r="C27" s="49">
        <f t="shared" si="0"/>
        <v>0</v>
      </c>
      <c r="D27" s="56">
        <f t="shared" si="1"/>
        <v>0</v>
      </c>
      <c r="E27" s="57">
        <f t="shared" si="2"/>
        <v>0</v>
      </c>
      <c r="F27" s="42"/>
      <c r="G27" s="42"/>
      <c r="H27" s="42"/>
    </row>
    <row r="28" spans="1:8" x14ac:dyDescent="0.25">
      <c r="A28" s="46">
        <v>13</v>
      </c>
      <c r="B28" s="55">
        <f t="shared" si="3"/>
        <v>0</v>
      </c>
      <c r="C28" s="49">
        <f t="shared" si="0"/>
        <v>0</v>
      </c>
      <c r="D28" s="56">
        <f t="shared" si="1"/>
        <v>0</v>
      </c>
      <c r="E28" s="57">
        <f t="shared" si="2"/>
        <v>0</v>
      </c>
      <c r="F28" s="42"/>
      <c r="G28" s="42"/>
      <c r="H28" s="42"/>
    </row>
    <row r="29" spans="1:8" x14ac:dyDescent="0.25">
      <c r="A29" s="46">
        <v>14</v>
      </c>
      <c r="B29" s="55">
        <f t="shared" si="3"/>
        <v>0</v>
      </c>
      <c r="C29" s="49">
        <f t="shared" si="0"/>
        <v>0</v>
      </c>
      <c r="D29" s="56">
        <f t="shared" si="1"/>
        <v>0</v>
      </c>
      <c r="E29" s="57">
        <f t="shared" si="2"/>
        <v>0</v>
      </c>
      <c r="F29" s="56"/>
      <c r="G29" s="42"/>
      <c r="H29" s="42"/>
    </row>
    <row r="30" spans="1:8" x14ac:dyDescent="0.25">
      <c r="A30" s="46">
        <v>15</v>
      </c>
      <c r="B30" s="55">
        <f t="shared" si="3"/>
        <v>0</v>
      </c>
      <c r="C30" s="49">
        <f t="shared" si="0"/>
        <v>0</v>
      </c>
      <c r="D30" s="56">
        <f t="shared" si="1"/>
        <v>0</v>
      </c>
      <c r="E30" s="57">
        <f t="shared" si="2"/>
        <v>0</v>
      </c>
      <c r="F30" s="42"/>
      <c r="G30" s="42"/>
      <c r="H30" s="42"/>
    </row>
    <row r="31" spans="1:8" x14ac:dyDescent="0.25">
      <c r="A31" s="46">
        <v>16</v>
      </c>
      <c r="B31" s="55">
        <f t="shared" si="3"/>
        <v>0</v>
      </c>
      <c r="C31" s="49">
        <f t="shared" si="0"/>
        <v>0</v>
      </c>
      <c r="D31" s="56">
        <f t="shared" si="1"/>
        <v>0</v>
      </c>
      <c r="E31" s="57">
        <f t="shared" si="2"/>
        <v>0</v>
      </c>
      <c r="F31" s="42"/>
      <c r="G31" s="42"/>
      <c r="H31" s="42"/>
    </row>
    <row r="32" spans="1:8" x14ac:dyDescent="0.25">
      <c r="A32" s="46">
        <v>17</v>
      </c>
      <c r="B32" s="55">
        <f t="shared" si="3"/>
        <v>0</v>
      </c>
      <c r="C32" s="49">
        <f t="shared" si="0"/>
        <v>0</v>
      </c>
      <c r="D32" s="56">
        <f t="shared" si="1"/>
        <v>0</v>
      </c>
      <c r="E32" s="57">
        <f t="shared" si="2"/>
        <v>0</v>
      </c>
      <c r="F32" s="42"/>
      <c r="G32" s="42"/>
      <c r="H32" s="58"/>
    </row>
    <row r="33" spans="1:8" x14ac:dyDescent="0.25">
      <c r="A33" s="46">
        <v>18</v>
      </c>
      <c r="B33" s="55">
        <f t="shared" si="3"/>
        <v>0</v>
      </c>
      <c r="C33" s="49">
        <f t="shared" si="0"/>
        <v>0</v>
      </c>
      <c r="D33" s="56">
        <f t="shared" si="1"/>
        <v>0</v>
      </c>
      <c r="E33" s="57">
        <f t="shared" si="2"/>
        <v>0</v>
      </c>
      <c r="F33" s="42"/>
      <c r="G33" s="42"/>
      <c r="H33" s="42"/>
    </row>
    <row r="34" spans="1:8" x14ac:dyDescent="0.25">
      <c r="A34" s="46">
        <v>19</v>
      </c>
      <c r="B34" s="55">
        <f t="shared" si="3"/>
        <v>0</v>
      </c>
      <c r="C34" s="49">
        <f t="shared" si="0"/>
        <v>0</v>
      </c>
      <c r="D34" s="56">
        <f t="shared" si="1"/>
        <v>0</v>
      </c>
      <c r="E34" s="57">
        <f t="shared" si="2"/>
        <v>0</v>
      </c>
      <c r="F34" s="42"/>
      <c r="G34" s="42"/>
      <c r="H34" s="42"/>
    </row>
    <row r="35" spans="1:8" x14ac:dyDescent="0.25">
      <c r="A35" s="46">
        <v>20</v>
      </c>
      <c r="B35" s="55">
        <f t="shared" si="3"/>
        <v>0</v>
      </c>
      <c r="C35" s="49">
        <f t="shared" si="0"/>
        <v>0</v>
      </c>
      <c r="D35" s="56">
        <f t="shared" si="1"/>
        <v>0</v>
      </c>
      <c r="E35" s="57">
        <f t="shared" si="2"/>
        <v>0</v>
      </c>
      <c r="F35" s="42"/>
      <c r="G35" s="42"/>
      <c r="H35" s="42"/>
    </row>
    <row r="36" spans="1:8" x14ac:dyDescent="0.25">
      <c r="A36" s="46">
        <v>21</v>
      </c>
      <c r="B36" s="55">
        <f t="shared" si="3"/>
        <v>0</v>
      </c>
      <c r="C36" s="49">
        <f t="shared" si="0"/>
        <v>0</v>
      </c>
      <c r="D36" s="56">
        <f t="shared" si="1"/>
        <v>0</v>
      </c>
      <c r="E36" s="57">
        <f t="shared" si="2"/>
        <v>0</v>
      </c>
      <c r="F36" s="42"/>
      <c r="G36" s="42"/>
      <c r="H36" s="42"/>
    </row>
    <row r="37" spans="1:8" x14ac:dyDescent="0.25">
      <c r="A37" s="46">
        <v>22</v>
      </c>
      <c r="B37" s="55">
        <f t="shared" si="3"/>
        <v>0</v>
      </c>
      <c r="C37" s="49">
        <f t="shared" si="0"/>
        <v>0</v>
      </c>
      <c r="D37" s="56">
        <f t="shared" si="1"/>
        <v>0</v>
      </c>
      <c r="E37" s="57">
        <f t="shared" si="2"/>
        <v>0</v>
      </c>
      <c r="F37" s="42"/>
      <c r="G37" s="42"/>
      <c r="H37" s="42"/>
    </row>
    <row r="38" spans="1:8" x14ac:dyDescent="0.25">
      <c r="A38" s="46">
        <v>23</v>
      </c>
      <c r="B38" s="55">
        <f t="shared" si="3"/>
        <v>0</v>
      </c>
      <c r="C38" s="49">
        <f t="shared" si="0"/>
        <v>0</v>
      </c>
      <c r="D38" s="56">
        <f t="shared" si="1"/>
        <v>0</v>
      </c>
      <c r="E38" s="57">
        <f t="shared" si="2"/>
        <v>0</v>
      </c>
      <c r="F38" s="42"/>
      <c r="G38" s="42"/>
      <c r="H38" s="42"/>
    </row>
    <row r="39" spans="1:8" x14ac:dyDescent="0.25">
      <c r="A39" s="46">
        <v>24</v>
      </c>
      <c r="B39" s="55">
        <f t="shared" si="3"/>
        <v>0</v>
      </c>
      <c r="C39" s="49">
        <f t="shared" si="0"/>
        <v>0</v>
      </c>
      <c r="D39" s="56">
        <f t="shared" si="1"/>
        <v>0</v>
      </c>
      <c r="E39" s="57">
        <f t="shared" si="2"/>
        <v>0</v>
      </c>
      <c r="F39" s="42"/>
      <c r="G39" s="42"/>
      <c r="H39" s="42"/>
    </row>
    <row r="40" spans="1:8" x14ac:dyDescent="0.25">
      <c r="A40" s="46">
        <v>25</v>
      </c>
      <c r="B40" s="55">
        <f t="shared" si="3"/>
        <v>0</v>
      </c>
      <c r="C40" s="49">
        <f t="shared" si="0"/>
        <v>0</v>
      </c>
      <c r="D40" s="56">
        <f t="shared" si="1"/>
        <v>0</v>
      </c>
      <c r="E40" s="57">
        <f t="shared" si="2"/>
        <v>0</v>
      </c>
      <c r="F40" s="42"/>
      <c r="G40" s="42"/>
      <c r="H40" s="42"/>
    </row>
    <row r="41" spans="1:8" x14ac:dyDescent="0.25">
      <c r="A41" s="46">
        <v>26</v>
      </c>
      <c r="B41" s="55">
        <f t="shared" si="3"/>
        <v>0</v>
      </c>
      <c r="C41" s="49">
        <f t="shared" si="0"/>
        <v>0</v>
      </c>
      <c r="D41" s="56">
        <f t="shared" si="1"/>
        <v>0</v>
      </c>
      <c r="E41" s="57">
        <f t="shared" si="2"/>
        <v>0</v>
      </c>
      <c r="F41" s="42"/>
      <c r="G41" s="42"/>
      <c r="H41" s="42"/>
    </row>
    <row r="42" spans="1:8" x14ac:dyDescent="0.25">
      <c r="A42" s="46">
        <v>27</v>
      </c>
      <c r="B42" s="55">
        <f t="shared" si="3"/>
        <v>0</v>
      </c>
      <c r="C42" s="49">
        <f t="shared" si="0"/>
        <v>0</v>
      </c>
      <c r="D42" s="56">
        <f t="shared" si="1"/>
        <v>0</v>
      </c>
      <c r="E42" s="57">
        <f t="shared" si="2"/>
        <v>0</v>
      </c>
      <c r="F42" s="42"/>
      <c r="G42" s="42"/>
      <c r="H42" s="42"/>
    </row>
    <row r="43" spans="1:8" x14ac:dyDescent="0.25">
      <c r="A43" s="46">
        <v>28</v>
      </c>
      <c r="B43" s="55">
        <f t="shared" si="3"/>
        <v>0</v>
      </c>
      <c r="C43" s="49">
        <f t="shared" si="0"/>
        <v>0</v>
      </c>
      <c r="D43" s="56">
        <f t="shared" si="1"/>
        <v>0</v>
      </c>
      <c r="E43" s="57">
        <f t="shared" si="2"/>
        <v>0</v>
      </c>
      <c r="F43" s="42"/>
      <c r="G43" s="42"/>
      <c r="H43" s="42"/>
    </row>
    <row r="44" spans="1:8" x14ac:dyDescent="0.25">
      <c r="A44" s="46">
        <v>29</v>
      </c>
      <c r="B44" s="55">
        <f t="shared" si="3"/>
        <v>0</v>
      </c>
      <c r="C44" s="49">
        <f t="shared" si="0"/>
        <v>0</v>
      </c>
      <c r="D44" s="56">
        <f t="shared" si="1"/>
        <v>0</v>
      </c>
      <c r="E44" s="57">
        <f t="shared" si="2"/>
        <v>0</v>
      </c>
      <c r="F44" s="42"/>
      <c r="G44" s="42"/>
      <c r="H44" s="42"/>
    </row>
    <row r="45" spans="1:8" x14ac:dyDescent="0.25">
      <c r="A45" s="46">
        <v>30</v>
      </c>
      <c r="B45" s="55">
        <f t="shared" si="3"/>
        <v>0</v>
      </c>
      <c r="C45" s="49">
        <f t="shared" si="0"/>
        <v>0</v>
      </c>
      <c r="D45" s="56">
        <f t="shared" si="1"/>
        <v>0</v>
      </c>
      <c r="E45" s="57">
        <f t="shared" si="2"/>
        <v>0</v>
      </c>
      <c r="F45" s="42"/>
      <c r="G45" s="42"/>
      <c r="H45" s="42"/>
    </row>
    <row r="46" spans="1:8" x14ac:dyDescent="0.25">
      <c r="A46" s="45"/>
      <c r="B46" s="55">
        <f t="shared" si="3"/>
        <v>0</v>
      </c>
      <c r="C46" s="49"/>
      <c r="D46" s="56"/>
      <c r="E46" s="57"/>
      <c r="F46" s="42"/>
      <c r="G46" s="42"/>
      <c r="H46" s="42"/>
    </row>
    <row r="47" spans="1:8" x14ac:dyDescent="0.25">
      <c r="A47" s="45"/>
      <c r="B47" s="42"/>
      <c r="C47" s="42"/>
      <c r="D47" s="42"/>
      <c r="E47" s="42"/>
      <c r="F47" s="42"/>
      <c r="G47" s="42"/>
      <c r="H47" s="42"/>
    </row>
    <row r="48" spans="1:8" ht="14.25" x14ac:dyDescent="0.25">
      <c r="A48" s="50" t="s">
        <v>41</v>
      </c>
      <c r="B48" s="46" t="s">
        <v>46</v>
      </c>
      <c r="C48" s="42"/>
      <c r="D48" s="42"/>
      <c r="E48" s="42"/>
      <c r="F48" s="42"/>
      <c r="G48" s="42"/>
      <c r="H48" s="42"/>
    </row>
    <row r="49" spans="1:8" x14ac:dyDescent="0.25">
      <c r="A49" s="46">
        <v>1</v>
      </c>
      <c r="B49" s="59">
        <f t="shared" ref="B49:B79" si="4">B16*B$9*(B$4+B$5+B$6)</f>
        <v>1197.0000000000002</v>
      </c>
      <c r="C49" s="42"/>
      <c r="D49" s="42"/>
      <c r="E49" s="42"/>
      <c r="F49" s="42"/>
      <c r="G49" s="42"/>
      <c r="H49" s="42"/>
    </row>
    <row r="50" spans="1:8" x14ac:dyDescent="0.25">
      <c r="A50" s="46">
        <v>2</v>
      </c>
      <c r="B50" s="59">
        <f t="shared" si="4"/>
        <v>1069.1602790996935</v>
      </c>
      <c r="C50" s="42"/>
      <c r="D50" s="42"/>
      <c r="E50" s="42"/>
      <c r="F50" s="42"/>
      <c r="G50" s="42"/>
      <c r="H50" s="42"/>
    </row>
    <row r="51" spans="1:8" x14ac:dyDescent="0.25">
      <c r="A51" s="46">
        <v>3</v>
      </c>
      <c r="B51" s="59">
        <f t="shared" si="4"/>
        <v>935.63169061932365</v>
      </c>
      <c r="C51" s="50"/>
      <c r="D51" s="42"/>
      <c r="E51" s="42"/>
      <c r="F51" s="42"/>
      <c r="G51" s="42"/>
      <c r="H51" s="42"/>
    </row>
    <row r="52" spans="1:8" x14ac:dyDescent="0.25">
      <c r="A52" s="46">
        <v>4</v>
      </c>
      <c r="B52" s="59">
        <f t="shared" si="4"/>
        <v>796.16107995157734</v>
      </c>
      <c r="C52" s="42"/>
      <c r="D52" s="42"/>
      <c r="E52" s="42"/>
      <c r="F52" s="42"/>
      <c r="G52" s="42"/>
      <c r="H52" s="42"/>
    </row>
    <row r="53" spans="1:8" x14ac:dyDescent="0.25">
      <c r="A53" s="46">
        <v>5</v>
      </c>
      <c r="B53" s="59">
        <f t="shared" si="4"/>
        <v>650.48402710911603</v>
      </c>
      <c r="C53" s="42"/>
      <c r="D53" s="42"/>
      <c r="E53" s="42"/>
      <c r="F53" s="42"/>
      <c r="G53" s="42"/>
      <c r="H53" s="42"/>
    </row>
    <row r="54" spans="1:8" x14ac:dyDescent="0.25">
      <c r="A54" s="46">
        <v>6</v>
      </c>
      <c r="B54" s="59">
        <f t="shared" si="4"/>
        <v>498.32434541516528</v>
      </c>
      <c r="C54" s="42"/>
      <c r="D54" s="42"/>
      <c r="E54" s="42"/>
      <c r="F54" s="42"/>
      <c r="G54" s="42"/>
      <c r="H54" s="42"/>
    </row>
    <row r="55" spans="1:8" x14ac:dyDescent="0.25">
      <c r="A55" s="46">
        <v>7</v>
      </c>
      <c r="B55" s="59">
        <f t="shared" si="4"/>
        <v>339.39355788583373</v>
      </c>
      <c r="C55" s="42"/>
      <c r="D55" s="42"/>
      <c r="E55" s="42"/>
      <c r="F55" s="42"/>
      <c r="G55" s="42"/>
      <c r="H55" s="42"/>
    </row>
    <row r="56" spans="1:8" x14ac:dyDescent="0.25">
      <c r="A56" s="46">
        <v>8</v>
      </c>
      <c r="B56" s="59">
        <f t="shared" si="4"/>
        <v>173.39035031144692</v>
      </c>
      <c r="C56" s="42"/>
      <c r="D56" s="42"/>
      <c r="E56" s="42"/>
      <c r="F56" s="42"/>
      <c r="G56" s="42"/>
      <c r="H56" s="42"/>
    </row>
    <row r="57" spans="1:8" x14ac:dyDescent="0.25">
      <c r="A57" s="46">
        <v>9</v>
      </c>
      <c r="B57" s="59">
        <f t="shared" si="4"/>
        <v>0</v>
      </c>
      <c r="C57" s="42"/>
      <c r="D57" s="42"/>
      <c r="E57" s="42"/>
      <c r="F57" s="42"/>
      <c r="G57" s="42"/>
      <c r="H57" s="42"/>
    </row>
    <row r="58" spans="1:8" x14ac:dyDescent="0.25">
      <c r="A58" s="46">
        <v>10</v>
      </c>
      <c r="B58" s="59">
        <f t="shared" si="4"/>
        <v>0</v>
      </c>
      <c r="C58" s="42"/>
      <c r="D58" s="42"/>
      <c r="E58" s="42"/>
      <c r="F58" s="42"/>
      <c r="G58" s="42"/>
      <c r="H58" s="42"/>
    </row>
    <row r="59" spans="1:8" x14ac:dyDescent="0.25">
      <c r="A59" s="46">
        <v>11</v>
      </c>
      <c r="B59" s="59">
        <f t="shared" si="4"/>
        <v>0</v>
      </c>
      <c r="C59" s="42"/>
      <c r="D59" s="42"/>
      <c r="E59" s="42"/>
      <c r="F59" s="42"/>
      <c r="G59" s="42"/>
      <c r="H59" s="42"/>
    </row>
    <row r="60" spans="1:8" x14ac:dyDescent="0.25">
      <c r="A60" s="46">
        <v>12</v>
      </c>
      <c r="B60" s="59">
        <f t="shared" si="4"/>
        <v>0</v>
      </c>
      <c r="C60" s="42"/>
      <c r="D60" s="42"/>
      <c r="E60" s="42"/>
      <c r="F60" s="42"/>
      <c r="G60" s="42"/>
      <c r="H60" s="42"/>
    </row>
    <row r="61" spans="1:8" x14ac:dyDescent="0.25">
      <c r="A61" s="46">
        <v>13</v>
      </c>
      <c r="B61" s="59">
        <f t="shared" si="4"/>
        <v>0</v>
      </c>
      <c r="C61" s="42"/>
      <c r="D61" s="42"/>
      <c r="E61" s="42"/>
      <c r="F61" s="42"/>
      <c r="G61" s="42"/>
      <c r="H61" s="42"/>
    </row>
    <row r="62" spans="1:8" x14ac:dyDescent="0.25">
      <c r="A62" s="46">
        <v>14</v>
      </c>
      <c r="B62" s="59">
        <f t="shared" si="4"/>
        <v>0</v>
      </c>
      <c r="C62" s="42"/>
      <c r="D62" s="42"/>
      <c r="E62" s="42"/>
      <c r="F62" s="42"/>
      <c r="G62" s="42"/>
      <c r="H62" s="42"/>
    </row>
    <row r="63" spans="1:8" x14ac:dyDescent="0.25">
      <c r="A63" s="46">
        <v>15</v>
      </c>
      <c r="B63" s="59">
        <f t="shared" si="4"/>
        <v>0</v>
      </c>
      <c r="C63" s="42"/>
      <c r="D63" s="42"/>
      <c r="E63" s="42"/>
      <c r="F63" s="42"/>
      <c r="G63" s="42"/>
      <c r="H63" s="42"/>
    </row>
    <row r="64" spans="1:8" x14ac:dyDescent="0.25">
      <c r="A64" s="46">
        <v>16</v>
      </c>
      <c r="B64" s="59">
        <f t="shared" si="4"/>
        <v>0</v>
      </c>
      <c r="C64" s="42"/>
      <c r="D64" s="42"/>
      <c r="E64" s="42"/>
      <c r="F64" s="42"/>
      <c r="G64" s="42"/>
      <c r="H64" s="42"/>
    </row>
    <row r="65" spans="1:8" x14ac:dyDescent="0.25">
      <c r="A65" s="46">
        <v>17</v>
      </c>
      <c r="B65" s="59">
        <f t="shared" si="4"/>
        <v>0</v>
      </c>
      <c r="C65" s="42"/>
      <c r="D65" s="42"/>
      <c r="E65" s="42"/>
      <c r="F65" s="42"/>
      <c r="G65" s="42"/>
      <c r="H65" s="42"/>
    </row>
    <row r="66" spans="1:8" x14ac:dyDescent="0.25">
      <c r="A66" s="46">
        <v>18</v>
      </c>
      <c r="B66" s="59">
        <f t="shared" si="4"/>
        <v>0</v>
      </c>
      <c r="C66" s="42"/>
      <c r="D66" s="42"/>
      <c r="E66" s="42"/>
      <c r="F66" s="42"/>
      <c r="G66" s="42"/>
      <c r="H66" s="42"/>
    </row>
    <row r="67" spans="1:8" x14ac:dyDescent="0.25">
      <c r="A67" s="46">
        <v>19</v>
      </c>
      <c r="B67" s="59">
        <f t="shared" si="4"/>
        <v>0</v>
      </c>
      <c r="C67" s="42"/>
      <c r="D67" s="42"/>
      <c r="E67" s="42"/>
      <c r="F67" s="42"/>
      <c r="G67" s="42"/>
      <c r="H67" s="42"/>
    </row>
    <row r="68" spans="1:8" x14ac:dyDescent="0.25">
      <c r="A68" s="46">
        <v>20</v>
      </c>
      <c r="B68" s="59">
        <f t="shared" si="4"/>
        <v>0</v>
      </c>
      <c r="C68" s="42"/>
      <c r="D68" s="42"/>
      <c r="E68" s="42"/>
      <c r="F68" s="42"/>
      <c r="G68" s="42"/>
      <c r="H68" s="42"/>
    </row>
    <row r="69" spans="1:8" x14ac:dyDescent="0.25">
      <c r="A69" s="46">
        <v>21</v>
      </c>
      <c r="B69" s="59">
        <f t="shared" si="4"/>
        <v>0</v>
      </c>
      <c r="C69" s="42"/>
      <c r="D69" s="42"/>
      <c r="E69" s="42"/>
      <c r="F69" s="42"/>
      <c r="G69" s="42"/>
      <c r="H69" s="42"/>
    </row>
    <row r="70" spans="1:8" x14ac:dyDescent="0.25">
      <c r="A70" s="46">
        <v>22</v>
      </c>
      <c r="B70" s="59">
        <f t="shared" si="4"/>
        <v>0</v>
      </c>
      <c r="C70" s="42"/>
      <c r="D70" s="42"/>
      <c r="E70" s="42"/>
      <c r="F70" s="42"/>
      <c r="G70" s="42"/>
      <c r="H70" s="42"/>
    </row>
    <row r="71" spans="1:8" x14ac:dyDescent="0.25">
      <c r="A71" s="46">
        <v>23</v>
      </c>
      <c r="B71" s="59">
        <f t="shared" si="4"/>
        <v>0</v>
      </c>
      <c r="C71" s="42"/>
      <c r="D71" s="42"/>
      <c r="E71" s="42"/>
      <c r="F71" s="42"/>
      <c r="G71" s="42"/>
      <c r="H71" s="42"/>
    </row>
    <row r="72" spans="1:8" x14ac:dyDescent="0.25">
      <c r="A72" s="46">
        <v>24</v>
      </c>
      <c r="B72" s="59">
        <f t="shared" si="4"/>
        <v>0</v>
      </c>
      <c r="C72" s="42"/>
      <c r="D72" s="42"/>
      <c r="E72" s="42"/>
      <c r="F72" s="42"/>
      <c r="G72" s="42"/>
      <c r="H72" s="42"/>
    </row>
    <row r="73" spans="1:8" x14ac:dyDescent="0.25">
      <c r="A73" s="46">
        <v>25</v>
      </c>
      <c r="B73" s="59">
        <f t="shared" si="4"/>
        <v>0</v>
      </c>
      <c r="C73" s="42"/>
      <c r="D73" s="42"/>
      <c r="E73" s="42"/>
      <c r="F73" s="42"/>
      <c r="G73" s="42"/>
      <c r="H73" s="42"/>
    </row>
    <row r="74" spans="1:8" x14ac:dyDescent="0.25">
      <c r="A74" s="46">
        <v>26</v>
      </c>
      <c r="B74" s="59">
        <f t="shared" si="4"/>
        <v>0</v>
      </c>
      <c r="C74" s="42"/>
      <c r="D74" s="42"/>
      <c r="E74" s="42"/>
      <c r="F74" s="42"/>
      <c r="G74" s="42"/>
      <c r="H74" s="42"/>
    </row>
    <row r="75" spans="1:8" x14ac:dyDescent="0.25">
      <c r="A75" s="46">
        <v>27</v>
      </c>
      <c r="B75" s="59">
        <f t="shared" si="4"/>
        <v>0</v>
      </c>
      <c r="C75" s="42"/>
      <c r="D75" s="42"/>
      <c r="E75" s="42"/>
      <c r="F75" s="42"/>
      <c r="G75" s="42"/>
      <c r="H75" s="42"/>
    </row>
    <row r="76" spans="1:8" x14ac:dyDescent="0.25">
      <c r="A76" s="46">
        <v>28</v>
      </c>
      <c r="B76" s="59">
        <f t="shared" si="4"/>
        <v>0</v>
      </c>
      <c r="C76" s="42"/>
      <c r="D76" s="42"/>
      <c r="E76" s="42"/>
      <c r="F76" s="42"/>
      <c r="G76" s="42"/>
      <c r="H76" s="42"/>
    </row>
    <row r="77" spans="1:8" x14ac:dyDescent="0.25">
      <c r="A77" s="46">
        <v>29</v>
      </c>
      <c r="B77" s="59">
        <f t="shared" si="4"/>
        <v>0</v>
      </c>
      <c r="C77" s="42"/>
      <c r="D77" s="42"/>
      <c r="E77" s="42"/>
      <c r="F77" s="42"/>
      <c r="G77" s="42"/>
      <c r="H77" s="42"/>
    </row>
    <row r="78" spans="1:8" x14ac:dyDescent="0.25">
      <c r="A78" s="46">
        <v>30</v>
      </c>
      <c r="B78" s="59">
        <f t="shared" si="4"/>
        <v>0</v>
      </c>
      <c r="C78" s="42"/>
      <c r="D78" s="42"/>
      <c r="E78" s="42"/>
      <c r="F78" s="42"/>
      <c r="G78" s="42"/>
      <c r="H78" s="42"/>
    </row>
    <row r="79" spans="1:8" x14ac:dyDescent="0.25">
      <c r="A79" s="45"/>
      <c r="B79" s="59">
        <f t="shared" si="4"/>
        <v>0</v>
      </c>
      <c r="C79" s="42"/>
      <c r="D79" s="42"/>
      <c r="E79" s="42"/>
      <c r="F79" s="42"/>
      <c r="G79" s="42"/>
      <c r="H79" s="42"/>
    </row>
    <row r="80" spans="1:8" x14ac:dyDescent="0.25">
      <c r="A80" s="45"/>
      <c r="B80" s="42"/>
      <c r="C80" s="42"/>
      <c r="D80" s="42"/>
      <c r="E80" s="42"/>
      <c r="F80" s="42"/>
      <c r="G80" s="42"/>
      <c r="H80" s="42"/>
    </row>
    <row r="81" spans="1:8" x14ac:dyDescent="0.25">
      <c r="A81" s="45"/>
      <c r="B81" s="42"/>
      <c r="C81" s="42"/>
      <c r="D81" s="42"/>
      <c r="E81" s="42"/>
      <c r="F81" s="42"/>
      <c r="G81" s="42"/>
      <c r="H81" s="42"/>
    </row>
    <row r="82" spans="1:8" ht="18" thickBot="1" x14ac:dyDescent="0.35">
      <c r="A82" s="60" t="s">
        <v>47</v>
      </c>
      <c r="B82" s="59">
        <f>B49+(B50/(1+B$12)^(A50-A$49))+(B51/((1+B$12)^(A51-A$49)))+(B52/((1+B$12)^(A52-A$49)))+(B53/((1+B$12)^(A53-A$49)))+(B54/((1+B$12)^(A54-A$49)))+(B55/((1+B$12)^(A55-A$49)))+(B56/((1+B$12)^(A56-A$49)))+(B57/((1+B$12)^(A57-A$49)))+(B58/((1+B$12)^(A58-A$49)))+(B59/((1+B$12)^(A59-A$49)))+(B60/((1+B$12)^(A60-A$49)))+(B61/((1+B$12)^(A61-A$49)))+(B62/((1+B$12)^(A62-A$49)))+(B63/((1+B$12)^(A63-A$49)))+(B64/((1+B$12)^(A64-A$49)))+(B65/((1+B$12)^(A65-A$49)))+(B66/((1+B$12)^(A66-A$49)))+(B67/((1+B$12)^(A67-A$49)))+(B68/((1+B$12)^(A68-A$49)+(B69/((1+B$12)^(A69-A$49)+(B70/((1+B$12)^(A70-A$49)+(B71/((1+B$12)^(A71-A$49)+(B72/((1+B$12)^(A72-A$49)+(B73/((1+B$12)^(A73-A$49)+(B74/((1+B$12)^(A74-A$49)+(B75/((1+B$12)^(A75-A$49)+(B76/((1+B$12)^(A76-A$49)+(B77/((1+B$12)^(A77-A$49)+(B78/((1+B$12)^(A78-A$49)))))))))))))))))))))))</f>
        <v>5113.4546696078432</v>
      </c>
      <c r="C82" s="42"/>
      <c r="D82" s="42"/>
      <c r="E82" s="42"/>
      <c r="F82" s="42"/>
      <c r="G82" s="42"/>
      <c r="H82" s="42"/>
    </row>
    <row r="83" spans="1:8" ht="14.25" thickBot="1" x14ac:dyDescent="0.3">
      <c r="A83" s="46" t="s">
        <v>48</v>
      </c>
      <c r="B83" s="61">
        <v>0</v>
      </c>
      <c r="C83" s="42"/>
      <c r="D83" s="42"/>
      <c r="E83" s="42"/>
      <c r="F83" s="42"/>
      <c r="G83" s="42"/>
      <c r="H83" s="42"/>
    </row>
    <row r="84" spans="1:8" x14ac:dyDescent="0.25">
      <c r="A84" s="45"/>
      <c r="B84" s="42"/>
      <c r="C84" s="42"/>
      <c r="D84" s="42"/>
      <c r="E84" s="42"/>
      <c r="F84" s="42"/>
      <c r="G84" s="42"/>
      <c r="H84" s="42"/>
    </row>
    <row r="85" spans="1:8" x14ac:dyDescent="0.25">
      <c r="A85" s="62" t="s">
        <v>49</v>
      </c>
      <c r="B85" s="63">
        <f>B82-B83</f>
        <v>5113.4546696078432</v>
      </c>
      <c r="C85" s="42"/>
      <c r="D85" s="42"/>
      <c r="E85" s="42"/>
      <c r="F85" s="42"/>
      <c r="G85" s="42"/>
      <c r="H85" s="42"/>
    </row>
  </sheetData>
  <sheetProtection algorithmName="SHA-512" hashValue="VvmcyzQpXr836MA29K5/3Z7E6XDZujmDUfbu+8aDED+t1on+sB0hv4oQkpLt9dT+s+VYSUU6ILmhhykAM9EcwQ==" saltValue="Nm6e2qB4tbDcP1l6DI952A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0994-685A-4049-9D62-278E74324ADB}">
  <dimension ref="A1:A7"/>
  <sheetViews>
    <sheetView workbookViewId="0">
      <selection activeCell="C18" sqref="C18"/>
    </sheetView>
  </sheetViews>
  <sheetFormatPr defaultRowHeight="13.5" x14ac:dyDescent="0.25"/>
  <cols>
    <col min="1" max="1" width="10.5703125" bestFit="1" customWidth="1"/>
  </cols>
  <sheetData>
    <row r="1" spans="1:1" x14ac:dyDescent="0.25">
      <c r="A1" t="s">
        <v>14</v>
      </c>
    </row>
    <row r="2" spans="1:1" x14ac:dyDescent="0.25">
      <c r="A2">
        <v>12</v>
      </c>
    </row>
    <row r="3" spans="1:1" x14ac:dyDescent="0.25">
      <c r="A3">
        <v>4</v>
      </c>
    </row>
    <row r="4" spans="1:1" x14ac:dyDescent="0.25">
      <c r="A4">
        <v>3</v>
      </c>
    </row>
    <row r="5" spans="1:1" x14ac:dyDescent="0.25">
      <c r="A5">
        <v>2</v>
      </c>
    </row>
    <row r="6" spans="1:1" x14ac:dyDescent="0.25">
      <c r="A6">
        <v>1</v>
      </c>
    </row>
    <row r="7" spans="1:1" x14ac:dyDescent="0.25">
      <c r="A7">
        <v>0</v>
      </c>
    </row>
  </sheetData>
  <dataValidations count="1">
    <dataValidation type="whole" operator="lessThanOrEqual" allowBlank="1" showInputMessage="1" showErrorMessage="1" sqref="B12:B13" xr:uid="{6E3A05E9-469A-4E8C-8681-237D70D34F89}">
      <formula1>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FNC-ORD_prospetto riassuntivo</vt:lpstr>
      <vt:lpstr>FNC-ORD_contributo interessi</vt:lpstr>
      <vt:lpstr>FNC-ORD_ESL riassicurazione</vt:lpstr>
      <vt:lpstr>Frequenza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Vichi Francesca</cp:lastModifiedBy>
  <dcterms:created xsi:type="dcterms:W3CDTF">2020-04-27T16:01:26Z</dcterms:created>
  <dcterms:modified xsi:type="dcterms:W3CDTF">2024-10-24T09:17:50Z</dcterms:modified>
</cp:coreProperties>
</file>