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.101.241\rti-cfm\Z_FNC-START UP E INTERNAZIONALIZZAZIONE\3_Regolamento\1_condivisione allegati\"/>
    </mc:Choice>
  </mc:AlternateContent>
  <xr:revisionPtr revIDLastSave="0" documentId="13_ncr:1_{F05BF5BE-BF23-4EE9-9F87-23C5774CF46D}" xr6:coauthVersionLast="47" xr6:coauthVersionMax="47" xr10:uidLastSave="{00000000-0000-0000-0000-000000000000}"/>
  <workbookProtection workbookAlgorithmName="SHA-512" workbookHashValue="QPsXzOK2uj1kHmr4sac0ylCa/v8thYYLXNXWJTgLGinAiefbGXq+mmiiQVPVA/NFW4EF1XygCoaTxJ/c9dB0hQ==" workbookSaltValue="HgrCrNBdnTvd8xHx+xp0sA==" workbookSpinCount="100000" lockStructure="1"/>
  <bookViews>
    <workbookView xWindow="28680" yWindow="-120" windowWidth="29040" windowHeight="15720" tabRatio="847" xr2:uid="{00000000-000D-0000-FFFF-FFFF00000000}"/>
  </bookViews>
  <sheets>
    <sheet name="FNC-ORD_prospetto riassuntivo" sheetId="15" r:id="rId1"/>
    <sheet name="FNC-ORD_contributo interessi" sheetId="20" r:id="rId2"/>
    <sheet name="FNC-ORD_ESL riassicurazione" sheetId="21" r:id="rId3"/>
    <sheet name="Frequenza rate" sheetId="10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5" l="1"/>
  <c r="B18" i="15"/>
  <c r="A38" i="15"/>
  <c r="B13" i="15"/>
  <c r="A40" i="15" s="1"/>
  <c r="B30" i="15" l="1"/>
  <c r="B12" i="21"/>
  <c r="B11" i="21" l="1"/>
  <c r="B4" i="21" l="1"/>
  <c r="B9" i="21"/>
  <c r="B8" i="21"/>
  <c r="B16" i="21" s="1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4" i="20"/>
  <c r="F3" i="20"/>
  <c r="B10" i="21" l="1"/>
  <c r="B14" i="21"/>
  <c r="E17" i="21" s="1"/>
  <c r="E42" i="21"/>
  <c r="E24" i="21"/>
  <c r="E32" i="21"/>
  <c r="E40" i="21"/>
  <c r="E25" i="21"/>
  <c r="E33" i="21"/>
  <c r="E37" i="21"/>
  <c r="E45" i="21"/>
  <c r="E26" i="21"/>
  <c r="E30" i="21"/>
  <c r="E34" i="21"/>
  <c r="E38" i="21"/>
  <c r="E28" i="21"/>
  <c r="E36" i="21"/>
  <c r="E44" i="21"/>
  <c r="E29" i="21"/>
  <c r="E41" i="21"/>
  <c r="E27" i="21"/>
  <c r="E31" i="21"/>
  <c r="E35" i="21"/>
  <c r="E39" i="21"/>
  <c r="E43" i="21"/>
  <c r="B49" i="21"/>
  <c r="C16" i="21"/>
  <c r="E16" i="21" l="1"/>
  <c r="E23" i="21"/>
  <c r="E22" i="21"/>
  <c r="E21" i="21"/>
  <c r="D16" i="21"/>
  <c r="B17" i="21" s="1"/>
  <c r="C17" i="21" s="1"/>
  <c r="D17" i="21" s="1"/>
  <c r="B18" i="21" s="1"/>
  <c r="E20" i="21"/>
  <c r="E19" i="21"/>
  <c r="E18" i="21"/>
  <c r="A39" i="15"/>
  <c r="B25" i="15"/>
  <c r="B50" i="21" l="1"/>
  <c r="B51" i="21"/>
  <c r="C18" i="21"/>
  <c r="D18" i="21" s="1"/>
  <c r="B19" i="21" s="1"/>
  <c r="C19" i="21" l="1"/>
  <c r="D19" i="21" s="1"/>
  <c r="B20" i="21" s="1"/>
  <c r="B52" i="21"/>
  <c r="B53" i="21" l="1"/>
  <c r="C20" i="21"/>
  <c r="D20" i="21" s="1"/>
  <c r="B21" i="21" s="1"/>
  <c r="B54" i="21" l="1"/>
  <c r="C21" i="21"/>
  <c r="D21" i="21" s="1"/>
  <c r="B22" i="21" s="1"/>
  <c r="B55" i="21" l="1"/>
  <c r="C22" i="21"/>
  <c r="D22" i="21" s="1"/>
  <c r="B23" i="21" s="1"/>
  <c r="C23" i="21" l="1"/>
  <c r="D23" i="21" s="1"/>
  <c r="B24" i="21" s="1"/>
  <c r="B56" i="21"/>
  <c r="B57" i="21" l="1"/>
  <c r="C24" i="21"/>
  <c r="D24" i="21" s="1"/>
  <c r="B25" i="21" s="1"/>
  <c r="B58" i="21" l="1"/>
  <c r="C25" i="21"/>
  <c r="D25" i="21" s="1"/>
  <c r="B26" i="21" s="1"/>
  <c r="B59" i="21" l="1"/>
  <c r="C26" i="21"/>
  <c r="D26" i="21" s="1"/>
  <c r="B27" i="21" s="1"/>
  <c r="C27" i="21" l="1"/>
  <c r="D27" i="21" s="1"/>
  <c r="B28" i="21" s="1"/>
  <c r="B60" i="21"/>
  <c r="B61" i="21" l="1"/>
  <c r="C28" i="21"/>
  <c r="D28" i="21" s="1"/>
  <c r="B29" i="21" s="1"/>
  <c r="B62" i="21" l="1"/>
  <c r="C29" i="21"/>
  <c r="D29" i="21" s="1"/>
  <c r="B30" i="21" s="1"/>
  <c r="B63" i="21" l="1"/>
  <c r="C30" i="21"/>
  <c r="D30" i="21" s="1"/>
  <c r="B31" i="21" s="1"/>
  <c r="C31" i="21" l="1"/>
  <c r="D31" i="21" s="1"/>
  <c r="B32" i="21" s="1"/>
  <c r="B64" i="21"/>
  <c r="B65" i="21" l="1"/>
  <c r="C32" i="21"/>
  <c r="D32" i="21" s="1"/>
  <c r="B33" i="21" s="1"/>
  <c r="B66" i="21" l="1"/>
  <c r="C33" i="21"/>
  <c r="D33" i="21" s="1"/>
  <c r="B34" i="21" s="1"/>
  <c r="B67" i="21" l="1"/>
  <c r="C34" i="21"/>
  <c r="D34" i="21" s="1"/>
  <c r="B35" i="21" s="1"/>
  <c r="C35" i="21" l="1"/>
  <c r="D35" i="21" s="1"/>
  <c r="B36" i="21" s="1"/>
  <c r="B68" i="21"/>
  <c r="B69" i="21" l="1"/>
  <c r="C36" i="21"/>
  <c r="D36" i="21" s="1"/>
  <c r="B37" i="21" s="1"/>
  <c r="B70" i="21" l="1"/>
  <c r="C37" i="21"/>
  <c r="D37" i="21" s="1"/>
  <c r="B38" i="21" s="1"/>
  <c r="B71" i="21" l="1"/>
  <c r="C38" i="21"/>
  <c r="D38" i="21" s="1"/>
  <c r="B39" i="21" s="1"/>
  <c r="C39" i="21" l="1"/>
  <c r="D39" i="21" s="1"/>
  <c r="B40" i="21" s="1"/>
  <c r="B72" i="21"/>
  <c r="B73" i="21" l="1"/>
  <c r="C40" i="21"/>
  <c r="D40" i="21" s="1"/>
  <c r="B41" i="21" s="1"/>
  <c r="B74" i="21" l="1"/>
  <c r="C41" i="21"/>
  <c r="D41" i="21" s="1"/>
  <c r="B42" i="21" s="1"/>
  <c r="B75" i="21" l="1"/>
  <c r="C42" i="21"/>
  <c r="D42" i="21" s="1"/>
  <c r="B43" i="21" s="1"/>
  <c r="C43" i="21" l="1"/>
  <c r="D43" i="21" s="1"/>
  <c r="B44" i="21" s="1"/>
  <c r="B76" i="21"/>
  <c r="B77" i="21" l="1"/>
  <c r="C44" i="21"/>
  <c r="D44" i="21" s="1"/>
  <c r="B45" i="21" s="1"/>
  <c r="B78" i="21" l="1"/>
  <c r="B82" i="21" s="1"/>
  <c r="B85" i="21" s="1"/>
  <c r="D1" i="21" s="1"/>
  <c r="B34" i="15" s="1"/>
  <c r="C45" i="21"/>
  <c r="D45" i="21" s="1"/>
  <c r="B46" i="21" s="1"/>
  <c r="B79" i="21" s="1"/>
  <c r="B26" i="15" l="1"/>
  <c r="B24" i="15"/>
  <c r="B21" i="15"/>
  <c r="A3" i="20" s="1"/>
  <c r="H3" i="20" l="1"/>
  <c r="B3" i="20" s="1"/>
  <c r="A4" i="20"/>
  <c r="M3" i="20"/>
  <c r="A5" i="20" l="1"/>
  <c r="H4" i="20"/>
  <c r="B4" i="20" s="1"/>
  <c r="G3" i="20"/>
  <c r="D3" i="20"/>
  <c r="D4" i="20" l="1"/>
  <c r="G4" i="20"/>
  <c r="H5" i="20"/>
  <c r="B5" i="20" s="1"/>
  <c r="A6" i="20"/>
  <c r="G5" i="20" l="1"/>
  <c r="D5" i="20"/>
  <c r="A7" i="20"/>
  <c r="H6" i="20"/>
  <c r="B6" i="20" s="1"/>
  <c r="D6" i="20" l="1"/>
  <c r="G6" i="20"/>
  <c r="H7" i="20"/>
  <c r="B7" i="20" s="1"/>
  <c r="A8" i="20"/>
  <c r="G7" i="20" l="1"/>
  <c r="D7" i="20"/>
  <c r="A9" i="20"/>
  <c r="H8" i="20"/>
  <c r="B8" i="20" s="1"/>
  <c r="D8" i="20" l="1"/>
  <c r="G8" i="20"/>
  <c r="H9" i="20"/>
  <c r="B9" i="20" s="1"/>
  <c r="A10" i="20"/>
  <c r="G9" i="20" l="1"/>
  <c r="D9" i="20"/>
  <c r="A11" i="20"/>
  <c r="H10" i="20"/>
  <c r="B10" i="20" s="1"/>
  <c r="D10" i="20" l="1"/>
  <c r="G10" i="20"/>
  <c r="H11" i="20"/>
  <c r="B11" i="20" s="1"/>
  <c r="A12" i="20"/>
  <c r="A13" i="20" l="1"/>
  <c r="H12" i="20"/>
  <c r="B12" i="20" s="1"/>
  <c r="G11" i="20"/>
  <c r="D11" i="20"/>
  <c r="D12" i="20" l="1"/>
  <c r="G12" i="20"/>
  <c r="H13" i="20"/>
  <c r="B13" i="20" s="1"/>
  <c r="A14" i="20"/>
  <c r="A15" i="20" l="1"/>
  <c r="H14" i="20"/>
  <c r="B14" i="20" s="1"/>
  <c r="G13" i="20"/>
  <c r="D13" i="20"/>
  <c r="D14" i="20" l="1"/>
  <c r="G14" i="20"/>
  <c r="H15" i="20"/>
  <c r="B15" i="20" s="1"/>
  <c r="A16" i="20"/>
  <c r="A17" i="20" l="1"/>
  <c r="H16" i="20"/>
  <c r="B16" i="20" s="1"/>
  <c r="G15" i="20"/>
  <c r="D15" i="20"/>
  <c r="D16" i="20" l="1"/>
  <c r="G16" i="20"/>
  <c r="H17" i="20"/>
  <c r="B17" i="20" s="1"/>
  <c r="A18" i="20"/>
  <c r="A19" i="20" l="1"/>
  <c r="H18" i="20"/>
  <c r="B18" i="20" s="1"/>
  <c r="G17" i="20"/>
  <c r="D17" i="20"/>
  <c r="D18" i="20" l="1"/>
  <c r="G18" i="20"/>
  <c r="H19" i="20"/>
  <c r="B19" i="20" s="1"/>
  <c r="A20" i="20"/>
  <c r="A21" i="20" l="1"/>
  <c r="H20" i="20"/>
  <c r="B20" i="20" s="1"/>
  <c r="G19" i="20"/>
  <c r="D19" i="20"/>
  <c r="D20" i="20" l="1"/>
  <c r="G20" i="20"/>
  <c r="H21" i="20"/>
  <c r="B21" i="20" s="1"/>
  <c r="A22" i="20"/>
  <c r="G21" i="20" l="1"/>
  <c r="D21" i="20"/>
  <c r="A23" i="20"/>
  <c r="H22" i="20"/>
  <c r="B22" i="20" s="1"/>
  <c r="D22" i="20" l="1"/>
  <c r="G22" i="20"/>
  <c r="H23" i="20"/>
  <c r="B23" i="20" s="1"/>
  <c r="A24" i="20"/>
  <c r="A25" i="20" l="1"/>
  <c r="H24" i="20"/>
  <c r="B24" i="20" s="1"/>
  <c r="G23" i="20"/>
  <c r="D23" i="20"/>
  <c r="D24" i="20" l="1"/>
  <c r="G24" i="20"/>
  <c r="H25" i="20"/>
  <c r="B25" i="20" s="1"/>
  <c r="A26" i="20"/>
  <c r="H26" i="20" l="1"/>
  <c r="B26" i="20" s="1"/>
  <c r="J3" i="20"/>
  <c r="G25" i="20"/>
  <c r="D25" i="20"/>
  <c r="Q3" i="20" l="1"/>
  <c r="K3" i="20" s="1"/>
  <c r="J4" i="20"/>
  <c r="D26" i="20"/>
  <c r="G26" i="20"/>
  <c r="J5" i="20" l="1"/>
  <c r="Q4" i="20"/>
  <c r="M4" i="20" s="1"/>
  <c r="P3" i="20"/>
  <c r="L3" i="20"/>
  <c r="N3" i="20" s="1"/>
  <c r="O3" i="20" s="1"/>
  <c r="K4" i="20" l="1"/>
  <c r="P4" i="20" s="1"/>
  <c r="Q5" i="20"/>
  <c r="M5" i="20" s="1"/>
  <c r="J6" i="20"/>
  <c r="L4" i="20" l="1"/>
  <c r="N4" i="20" s="1"/>
  <c r="O4" i="20" s="1"/>
  <c r="K5" i="20" s="1"/>
  <c r="P5" i="20" s="1"/>
  <c r="J7" i="20"/>
  <c r="Q6" i="20"/>
  <c r="M6" i="20" s="1"/>
  <c r="L5" i="20" l="1"/>
  <c r="N5" i="20" s="1"/>
  <c r="O5" i="20" s="1"/>
  <c r="K6" i="20" s="1"/>
  <c r="P6" i="20" s="1"/>
  <c r="Q7" i="20"/>
  <c r="M7" i="20" s="1"/>
  <c r="J8" i="20"/>
  <c r="L6" i="20" l="1"/>
  <c r="N6" i="20" s="1"/>
  <c r="O6" i="20" s="1"/>
  <c r="K7" i="20" s="1"/>
  <c r="P7" i="20" s="1"/>
  <c r="J9" i="20"/>
  <c r="Q8" i="20"/>
  <c r="M8" i="20" s="1"/>
  <c r="L7" i="20" l="1"/>
  <c r="N7" i="20" s="1"/>
  <c r="O7" i="20" s="1"/>
  <c r="K8" i="20" s="1"/>
  <c r="P8" i="20" s="1"/>
  <c r="Q9" i="20"/>
  <c r="M9" i="20" s="1"/>
  <c r="J10" i="20"/>
  <c r="L8" i="20" l="1"/>
  <c r="N8" i="20" s="1"/>
  <c r="O8" i="20" s="1"/>
  <c r="K9" i="20" s="1"/>
  <c r="Q10" i="20"/>
  <c r="M10" i="20" s="1"/>
  <c r="J11" i="20"/>
  <c r="P9" i="20" l="1"/>
  <c r="L9" i="20"/>
  <c r="N9" i="20" s="1"/>
  <c r="O9" i="20" s="1"/>
  <c r="K10" i="20" s="1"/>
  <c r="P10" i="20" s="1"/>
  <c r="Q11" i="20"/>
  <c r="M11" i="20" s="1"/>
  <c r="J12" i="20"/>
  <c r="L10" i="20" l="1"/>
  <c r="N10" i="20" s="1"/>
  <c r="O10" i="20" s="1"/>
  <c r="K11" i="20" s="1"/>
  <c r="J13" i="20"/>
  <c r="Q12" i="20"/>
  <c r="M12" i="20" s="1"/>
  <c r="P11" i="20" l="1"/>
  <c r="L11" i="20"/>
  <c r="N11" i="20" s="1"/>
  <c r="O11" i="20" s="1"/>
  <c r="K12" i="20" s="1"/>
  <c r="P12" i="20" s="1"/>
  <c r="Q13" i="20"/>
  <c r="M13" i="20" s="1"/>
  <c r="J14" i="20"/>
  <c r="L12" i="20" l="1"/>
  <c r="N12" i="20" s="1"/>
  <c r="O12" i="20" s="1"/>
  <c r="K13" i="20" s="1"/>
  <c r="P13" i="20" s="1"/>
  <c r="Q14" i="20"/>
  <c r="M14" i="20" s="1"/>
  <c r="J15" i="20"/>
  <c r="L13" i="20" l="1"/>
  <c r="N13" i="20" s="1"/>
  <c r="O13" i="20" s="1"/>
  <c r="K14" i="20" s="1"/>
  <c r="P14" i="20" s="1"/>
  <c r="Q15" i="20"/>
  <c r="M15" i="20" s="1"/>
  <c r="J16" i="20"/>
  <c r="L14" i="20" l="1"/>
  <c r="N14" i="20" s="1"/>
  <c r="O14" i="20" s="1"/>
  <c r="K15" i="20" s="1"/>
  <c r="J17" i="20"/>
  <c r="Q16" i="20"/>
  <c r="M16" i="20" s="1"/>
  <c r="P15" i="20" l="1"/>
  <c r="L15" i="20"/>
  <c r="N15" i="20" s="1"/>
  <c r="O15" i="20" s="1"/>
  <c r="K16" i="20" s="1"/>
  <c r="Q17" i="20"/>
  <c r="M17" i="20" s="1"/>
  <c r="J18" i="20"/>
  <c r="P16" i="20" l="1"/>
  <c r="L16" i="20"/>
  <c r="N16" i="20" s="1"/>
  <c r="O16" i="20" s="1"/>
  <c r="K17" i="20" s="1"/>
  <c r="Q18" i="20"/>
  <c r="M18" i="20" s="1"/>
  <c r="J19" i="20"/>
  <c r="P17" i="20" l="1"/>
  <c r="L17" i="20"/>
  <c r="N17" i="20" s="1"/>
  <c r="O17" i="20" s="1"/>
  <c r="K18" i="20" s="1"/>
  <c r="Q19" i="20"/>
  <c r="M19" i="20" s="1"/>
  <c r="J20" i="20"/>
  <c r="P18" i="20" l="1"/>
  <c r="L18" i="20"/>
  <c r="N18" i="20" s="1"/>
  <c r="O18" i="20" s="1"/>
  <c r="K19" i="20" s="1"/>
  <c r="J21" i="20"/>
  <c r="Q20" i="20"/>
  <c r="M20" i="20" s="1"/>
  <c r="P19" i="20" l="1"/>
  <c r="L19" i="20"/>
  <c r="N19" i="20" s="1"/>
  <c r="O19" i="20" s="1"/>
  <c r="K20" i="20" s="1"/>
  <c r="P20" i="20" s="1"/>
  <c r="Q21" i="20"/>
  <c r="M21" i="20" s="1"/>
  <c r="J22" i="20"/>
  <c r="L20" i="20" l="1"/>
  <c r="N20" i="20" s="1"/>
  <c r="O20" i="20" s="1"/>
  <c r="K21" i="20" s="1"/>
  <c r="P21" i="20" s="1"/>
  <c r="Q22" i="20"/>
  <c r="M22" i="20" s="1"/>
  <c r="J23" i="20"/>
  <c r="L21" i="20" l="1"/>
  <c r="N21" i="20" s="1"/>
  <c r="O21" i="20" s="1"/>
  <c r="K22" i="20" s="1"/>
  <c r="P22" i="20" s="1"/>
  <c r="Q23" i="20"/>
  <c r="M23" i="20" s="1"/>
  <c r="J24" i="20"/>
  <c r="L22" i="20" l="1"/>
  <c r="N22" i="20" s="1"/>
  <c r="O22" i="20" s="1"/>
  <c r="K23" i="20" s="1"/>
  <c r="J25" i="20"/>
  <c r="Q24" i="20"/>
  <c r="M24" i="20" s="1"/>
  <c r="P23" i="20" l="1"/>
  <c r="L23" i="20"/>
  <c r="N23" i="20" s="1"/>
  <c r="O23" i="20" s="1"/>
  <c r="K24" i="20" s="1"/>
  <c r="P24" i="20" s="1"/>
  <c r="Q25" i="20"/>
  <c r="M25" i="20" s="1"/>
  <c r="J26" i="20"/>
  <c r="L24" i="20" l="1"/>
  <c r="N24" i="20" s="1"/>
  <c r="O24" i="20" s="1"/>
  <c r="K25" i="20" s="1"/>
  <c r="P25" i="20" s="1"/>
  <c r="J27" i="20"/>
  <c r="Q26" i="20"/>
  <c r="M26" i="20" s="1"/>
  <c r="L25" i="20" l="1"/>
  <c r="N25" i="20" s="1"/>
  <c r="O25" i="20" s="1"/>
  <c r="K26" i="20" s="1"/>
  <c r="J28" i="20"/>
  <c r="Q27" i="20"/>
  <c r="M27" i="20" s="1"/>
  <c r="P26" i="20" l="1"/>
  <c r="L26" i="20"/>
  <c r="N26" i="20" s="1"/>
  <c r="O26" i="20" s="1"/>
  <c r="K27" i="20" s="1"/>
  <c r="J29" i="20"/>
  <c r="Q28" i="20"/>
  <c r="M28" i="20" s="1"/>
  <c r="P27" i="20" l="1"/>
  <c r="L27" i="20"/>
  <c r="N27" i="20" s="1"/>
  <c r="O27" i="20" s="1"/>
  <c r="K28" i="20" s="1"/>
  <c r="J30" i="20"/>
  <c r="Q29" i="20"/>
  <c r="M29" i="20" s="1"/>
  <c r="P28" i="20" l="1"/>
  <c r="L28" i="20"/>
  <c r="N28" i="20" s="1"/>
  <c r="O28" i="20" s="1"/>
  <c r="K29" i="20" s="1"/>
  <c r="P29" i="20" s="1"/>
  <c r="J31" i="20"/>
  <c r="Q30" i="20"/>
  <c r="M30" i="20" s="1"/>
  <c r="L29" i="20" l="1"/>
  <c r="N29" i="20" s="1"/>
  <c r="O29" i="20" s="1"/>
  <c r="K30" i="20" s="1"/>
  <c r="P30" i="20" s="1"/>
  <c r="J32" i="20"/>
  <c r="Q31" i="20"/>
  <c r="M31" i="20" s="1"/>
  <c r="J33" i="20" l="1"/>
  <c r="Q32" i="20"/>
  <c r="M32" i="20" s="1"/>
  <c r="L30" i="20"/>
  <c r="N30" i="20" s="1"/>
  <c r="O30" i="20" s="1"/>
  <c r="K31" i="20" s="1"/>
  <c r="P31" i="20" s="1"/>
  <c r="J34" i="20" l="1"/>
  <c r="Q33" i="20"/>
  <c r="M33" i="20" s="1"/>
  <c r="L31" i="20"/>
  <c r="N31" i="20" s="1"/>
  <c r="O31" i="20" s="1"/>
  <c r="K32" i="20" s="1"/>
  <c r="P32" i="20" s="1"/>
  <c r="J35" i="20" l="1"/>
  <c r="Q34" i="20"/>
  <c r="M34" i="20" s="1"/>
  <c r="L32" i="20"/>
  <c r="N32" i="20" s="1"/>
  <c r="O32" i="20" s="1"/>
  <c r="K33" i="20" s="1"/>
  <c r="P33" i="20" s="1"/>
  <c r="J36" i="20" l="1"/>
  <c r="Q35" i="20"/>
  <c r="M35" i="20" s="1"/>
  <c r="L33" i="20"/>
  <c r="N33" i="20" s="1"/>
  <c r="O33" i="20" s="1"/>
  <c r="K34" i="20" s="1"/>
  <c r="P34" i="20" s="1"/>
  <c r="J37" i="20" l="1"/>
  <c r="Q36" i="20"/>
  <c r="M36" i="20" s="1"/>
  <c r="L34" i="20"/>
  <c r="N34" i="20" s="1"/>
  <c r="O34" i="20" s="1"/>
  <c r="K35" i="20" s="1"/>
  <c r="P35" i="20" s="1"/>
  <c r="J38" i="20" l="1"/>
  <c r="Q37" i="20"/>
  <c r="M37" i="20" s="1"/>
  <c r="L35" i="20"/>
  <c r="N35" i="20" s="1"/>
  <c r="O35" i="20" s="1"/>
  <c r="K36" i="20" s="1"/>
  <c r="P36" i="20" s="1"/>
  <c r="J39" i="20" l="1"/>
  <c r="Q38" i="20"/>
  <c r="M38" i="20" s="1"/>
  <c r="L36" i="20"/>
  <c r="N36" i="20" s="1"/>
  <c r="O36" i="20" s="1"/>
  <c r="K37" i="20" s="1"/>
  <c r="P37" i="20" s="1"/>
  <c r="J40" i="20" l="1"/>
  <c r="Q39" i="20"/>
  <c r="M39" i="20" s="1"/>
  <c r="L37" i="20"/>
  <c r="N37" i="20" s="1"/>
  <c r="O37" i="20" s="1"/>
  <c r="K38" i="20" s="1"/>
  <c r="P38" i="20" s="1"/>
  <c r="J41" i="20" l="1"/>
  <c r="Q40" i="20"/>
  <c r="M40" i="20" s="1"/>
  <c r="L38" i="20"/>
  <c r="N38" i="20" s="1"/>
  <c r="O38" i="20" s="1"/>
  <c r="K39" i="20" s="1"/>
  <c r="P39" i="20" s="1"/>
  <c r="J42" i="20" l="1"/>
  <c r="Q41" i="20"/>
  <c r="M41" i="20" s="1"/>
  <c r="L39" i="20"/>
  <c r="N39" i="20" s="1"/>
  <c r="O39" i="20" s="1"/>
  <c r="K40" i="20" s="1"/>
  <c r="P40" i="20" s="1"/>
  <c r="J43" i="20" l="1"/>
  <c r="Q42" i="20"/>
  <c r="M42" i="20" s="1"/>
  <c r="L40" i="20"/>
  <c r="N40" i="20" s="1"/>
  <c r="O40" i="20" s="1"/>
  <c r="K41" i="20" s="1"/>
  <c r="P41" i="20" s="1"/>
  <c r="J44" i="20" l="1"/>
  <c r="Q43" i="20"/>
  <c r="M43" i="20" s="1"/>
  <c r="L41" i="20"/>
  <c r="N41" i="20" s="1"/>
  <c r="O41" i="20" s="1"/>
  <c r="K42" i="20" s="1"/>
  <c r="P42" i="20" s="1"/>
  <c r="J45" i="20" l="1"/>
  <c r="Q44" i="20"/>
  <c r="M44" i="20" s="1"/>
  <c r="L42" i="20"/>
  <c r="N42" i="20" s="1"/>
  <c r="O42" i="20" s="1"/>
  <c r="K43" i="20" s="1"/>
  <c r="P43" i="20" s="1"/>
  <c r="J46" i="20" l="1"/>
  <c r="Q45" i="20"/>
  <c r="M45" i="20" s="1"/>
  <c r="L43" i="20"/>
  <c r="N43" i="20" s="1"/>
  <c r="O43" i="20" s="1"/>
  <c r="K44" i="20" s="1"/>
  <c r="P44" i="20" s="1"/>
  <c r="J47" i="20" l="1"/>
  <c r="Q46" i="20"/>
  <c r="M46" i="20" s="1"/>
  <c r="L44" i="20"/>
  <c r="N44" i="20" s="1"/>
  <c r="O44" i="20" s="1"/>
  <c r="K45" i="20" s="1"/>
  <c r="P45" i="20" s="1"/>
  <c r="J48" i="20" l="1"/>
  <c r="Q47" i="20"/>
  <c r="M47" i="20" s="1"/>
  <c r="L45" i="20"/>
  <c r="N45" i="20" s="1"/>
  <c r="O45" i="20" s="1"/>
  <c r="K46" i="20" s="1"/>
  <c r="P46" i="20" s="1"/>
  <c r="J49" i="20" l="1"/>
  <c r="Q48" i="20"/>
  <c r="M48" i="20" s="1"/>
  <c r="L46" i="20"/>
  <c r="N46" i="20" s="1"/>
  <c r="O46" i="20" s="1"/>
  <c r="K47" i="20" s="1"/>
  <c r="P47" i="20" s="1"/>
  <c r="L47" i="20" l="1"/>
  <c r="N47" i="20" s="1"/>
  <c r="O47" i="20" s="1"/>
  <c r="K48" i="20" s="1"/>
  <c r="P48" i="20" s="1"/>
  <c r="J50" i="20"/>
  <c r="Q49" i="20"/>
  <c r="M49" i="20" s="1"/>
  <c r="J51" i="20" l="1"/>
  <c r="Q50" i="20"/>
  <c r="M50" i="20" s="1"/>
  <c r="L48" i="20"/>
  <c r="N48" i="20" s="1"/>
  <c r="O48" i="20" s="1"/>
  <c r="K49" i="20" s="1"/>
  <c r="P49" i="20" s="1"/>
  <c r="J52" i="20" l="1"/>
  <c r="Q51" i="20"/>
  <c r="M51" i="20" s="1"/>
  <c r="L49" i="20"/>
  <c r="N49" i="20" s="1"/>
  <c r="O49" i="20" s="1"/>
  <c r="K50" i="20" s="1"/>
  <c r="P50" i="20" s="1"/>
  <c r="J53" i="20" l="1"/>
  <c r="Q52" i="20"/>
  <c r="M52" i="20" s="1"/>
  <c r="L50" i="20"/>
  <c r="N50" i="20" s="1"/>
  <c r="O50" i="20" s="1"/>
  <c r="K51" i="20" s="1"/>
  <c r="P51" i="20" s="1"/>
  <c r="J54" i="20" l="1"/>
  <c r="Q53" i="20"/>
  <c r="M53" i="20" s="1"/>
  <c r="L51" i="20"/>
  <c r="N51" i="20" s="1"/>
  <c r="O51" i="20" s="1"/>
  <c r="K52" i="20" s="1"/>
  <c r="P52" i="20" s="1"/>
  <c r="J55" i="20" l="1"/>
  <c r="Q54" i="20"/>
  <c r="M54" i="20" s="1"/>
  <c r="L52" i="20"/>
  <c r="N52" i="20" s="1"/>
  <c r="O52" i="20" s="1"/>
  <c r="K53" i="20" s="1"/>
  <c r="P53" i="20" s="1"/>
  <c r="J56" i="20" l="1"/>
  <c r="Q55" i="20"/>
  <c r="M55" i="20" s="1"/>
  <c r="L53" i="20"/>
  <c r="N53" i="20" s="1"/>
  <c r="O53" i="20" s="1"/>
  <c r="K54" i="20" s="1"/>
  <c r="P54" i="20" s="1"/>
  <c r="Q56" i="20" l="1"/>
  <c r="M56" i="20" s="1"/>
  <c r="J57" i="20"/>
  <c r="L54" i="20"/>
  <c r="N54" i="20" s="1"/>
  <c r="O54" i="20" s="1"/>
  <c r="K55" i="20" s="1"/>
  <c r="P55" i="20" s="1"/>
  <c r="L55" i="20" l="1"/>
  <c r="N55" i="20" s="1"/>
  <c r="O55" i="20" s="1"/>
  <c r="K56" i="20" s="1"/>
  <c r="P56" i="20" s="1"/>
  <c r="Q57" i="20"/>
  <c r="M57" i="20" s="1"/>
  <c r="J58" i="20"/>
  <c r="L56" i="20" l="1"/>
  <c r="N56" i="20" s="1"/>
  <c r="O56" i="20" s="1"/>
  <c r="K57" i="20" s="1"/>
  <c r="P57" i="20" s="1"/>
  <c r="Q58" i="20"/>
  <c r="M58" i="20" s="1"/>
  <c r="J59" i="20"/>
  <c r="L57" i="20" l="1"/>
  <c r="N57" i="20" s="1"/>
  <c r="O57" i="20" s="1"/>
  <c r="K58" i="20" s="1"/>
  <c r="P58" i="20" s="1"/>
  <c r="Q59" i="20"/>
  <c r="M59" i="20" s="1"/>
  <c r="J60" i="20"/>
  <c r="L58" i="20" l="1"/>
  <c r="N58" i="20" s="1"/>
  <c r="O58" i="20" s="1"/>
  <c r="K59" i="20" s="1"/>
  <c r="P59" i="20" s="1"/>
  <c r="Q60" i="20"/>
  <c r="M60" i="20" s="1"/>
  <c r="J61" i="20"/>
  <c r="L59" i="20" l="1"/>
  <c r="N59" i="20" s="1"/>
  <c r="O59" i="20" s="1"/>
  <c r="K60" i="20" s="1"/>
  <c r="P60" i="20" s="1"/>
  <c r="Q61" i="20"/>
  <c r="M61" i="20" s="1"/>
  <c r="J62" i="20"/>
  <c r="Q62" i="20" l="1"/>
  <c r="M62" i="20" s="1"/>
  <c r="J63" i="20"/>
  <c r="L60" i="20"/>
  <c r="N60" i="20" s="1"/>
  <c r="O60" i="20" s="1"/>
  <c r="K61" i="20" s="1"/>
  <c r="P61" i="20" s="1"/>
  <c r="L61" i="20" l="1"/>
  <c r="N61" i="20" s="1"/>
  <c r="O61" i="20" s="1"/>
  <c r="K62" i="20" s="1"/>
  <c r="P62" i="20" s="1"/>
  <c r="Q63" i="20"/>
  <c r="M63" i="20" s="1"/>
  <c r="J64" i="20"/>
  <c r="L62" i="20" l="1"/>
  <c r="N62" i="20" s="1"/>
  <c r="O62" i="20" s="1"/>
  <c r="K63" i="20" s="1"/>
  <c r="P63" i="20" s="1"/>
  <c r="Q64" i="20"/>
  <c r="M64" i="20" s="1"/>
  <c r="J65" i="20"/>
  <c r="L63" i="20" l="1"/>
  <c r="N63" i="20" s="1"/>
  <c r="O63" i="20" s="1"/>
  <c r="K64" i="20" s="1"/>
  <c r="P64" i="20" s="1"/>
  <c r="Q65" i="20"/>
  <c r="M65" i="20" s="1"/>
  <c r="J66" i="20"/>
  <c r="Q66" i="20" l="1"/>
  <c r="M66" i="20" s="1"/>
  <c r="J67" i="20"/>
  <c r="L64" i="20"/>
  <c r="N64" i="20" s="1"/>
  <c r="O64" i="20" s="1"/>
  <c r="K65" i="20" s="1"/>
  <c r="P65" i="20" s="1"/>
  <c r="L65" i="20" l="1"/>
  <c r="N65" i="20" s="1"/>
  <c r="O65" i="20" s="1"/>
  <c r="K66" i="20" s="1"/>
  <c r="P66" i="20" s="1"/>
  <c r="Q67" i="20"/>
  <c r="M67" i="20" s="1"/>
  <c r="J68" i="20"/>
  <c r="L66" i="20" l="1"/>
  <c r="N66" i="20" s="1"/>
  <c r="O66" i="20" s="1"/>
  <c r="K67" i="20" s="1"/>
  <c r="P67" i="20" s="1"/>
  <c r="Q68" i="20"/>
  <c r="M68" i="20" s="1"/>
  <c r="J69" i="20"/>
  <c r="L67" i="20" l="1"/>
  <c r="N67" i="20" s="1"/>
  <c r="O67" i="20" s="1"/>
  <c r="K68" i="20" s="1"/>
  <c r="P68" i="20" s="1"/>
  <c r="Q69" i="20"/>
  <c r="M69" i="20" s="1"/>
  <c r="J70" i="20"/>
  <c r="Q70" i="20" l="1"/>
  <c r="M70" i="20" s="1"/>
  <c r="J71" i="20"/>
  <c r="L68" i="20"/>
  <c r="N68" i="20" s="1"/>
  <c r="O68" i="20" s="1"/>
  <c r="K69" i="20" s="1"/>
  <c r="P69" i="20" s="1"/>
  <c r="L69" i="20" l="1"/>
  <c r="N69" i="20" s="1"/>
  <c r="O69" i="20" s="1"/>
  <c r="K70" i="20" s="1"/>
  <c r="P70" i="20" s="1"/>
  <c r="Q71" i="20"/>
  <c r="M71" i="20" s="1"/>
  <c r="J72" i="20"/>
  <c r="L70" i="20" l="1"/>
  <c r="N70" i="20" s="1"/>
  <c r="O70" i="20" s="1"/>
  <c r="K71" i="20" s="1"/>
  <c r="P71" i="20" s="1"/>
  <c r="Q72" i="20"/>
  <c r="M72" i="20" s="1"/>
  <c r="J73" i="20"/>
  <c r="L71" i="20" l="1"/>
  <c r="N71" i="20" s="1"/>
  <c r="O71" i="20" s="1"/>
  <c r="K72" i="20" s="1"/>
  <c r="P72" i="20" s="1"/>
  <c r="Q73" i="20"/>
  <c r="M73" i="20" s="1"/>
  <c r="J74" i="20"/>
  <c r="Q74" i="20" l="1"/>
  <c r="M74" i="20" s="1"/>
  <c r="J75" i="20"/>
  <c r="L72" i="20"/>
  <c r="N72" i="20" s="1"/>
  <c r="O72" i="20" s="1"/>
  <c r="K73" i="20" s="1"/>
  <c r="P73" i="20" s="1"/>
  <c r="L73" i="20" l="1"/>
  <c r="N73" i="20" s="1"/>
  <c r="O73" i="20" s="1"/>
  <c r="K74" i="20" s="1"/>
  <c r="P74" i="20" s="1"/>
  <c r="Q75" i="20"/>
  <c r="M75" i="20" s="1"/>
  <c r="J76" i="20"/>
  <c r="L74" i="20" l="1"/>
  <c r="N74" i="20" s="1"/>
  <c r="O74" i="20" s="1"/>
  <c r="K75" i="20" s="1"/>
  <c r="P75" i="20" s="1"/>
  <c r="Q76" i="20"/>
  <c r="M76" i="20" s="1"/>
  <c r="J77" i="20"/>
  <c r="L75" i="20" l="1"/>
  <c r="N75" i="20" s="1"/>
  <c r="O75" i="20" s="1"/>
  <c r="K76" i="20" s="1"/>
  <c r="P76" i="20" s="1"/>
  <c r="Q77" i="20"/>
  <c r="M77" i="20" s="1"/>
  <c r="J78" i="20"/>
  <c r="Q78" i="20" l="1"/>
  <c r="M78" i="20" s="1"/>
  <c r="J79" i="20"/>
  <c r="L76" i="20"/>
  <c r="N76" i="20" s="1"/>
  <c r="O76" i="20" s="1"/>
  <c r="K77" i="20" s="1"/>
  <c r="P77" i="20" s="1"/>
  <c r="Q79" i="20" l="1"/>
  <c r="M79" i="20" s="1"/>
  <c r="J80" i="20"/>
  <c r="L77" i="20"/>
  <c r="N77" i="20" s="1"/>
  <c r="O77" i="20" s="1"/>
  <c r="K78" i="20" s="1"/>
  <c r="P78" i="20" s="1"/>
  <c r="L78" i="20" l="1"/>
  <c r="N78" i="20" s="1"/>
  <c r="O78" i="20" s="1"/>
  <c r="K79" i="20" s="1"/>
  <c r="P79" i="20" s="1"/>
  <c r="Q80" i="20"/>
  <c r="M80" i="20" s="1"/>
  <c r="J81" i="20"/>
  <c r="L79" i="20" l="1"/>
  <c r="N79" i="20" s="1"/>
  <c r="O79" i="20" s="1"/>
  <c r="K80" i="20" s="1"/>
  <c r="P80" i="20" s="1"/>
  <c r="Q81" i="20"/>
  <c r="M81" i="20" s="1"/>
  <c r="J82" i="20"/>
  <c r="L80" i="20" l="1"/>
  <c r="N80" i="20" s="1"/>
  <c r="O80" i="20" s="1"/>
  <c r="K81" i="20" s="1"/>
  <c r="P81" i="20" s="1"/>
  <c r="Q82" i="20"/>
  <c r="M82" i="20" s="1"/>
  <c r="J83" i="20"/>
  <c r="Q83" i="20" l="1"/>
  <c r="M83" i="20" s="1"/>
  <c r="J84" i="20"/>
  <c r="L81" i="20"/>
  <c r="N81" i="20" s="1"/>
  <c r="O81" i="20" s="1"/>
  <c r="K82" i="20" s="1"/>
  <c r="P82" i="20" s="1"/>
  <c r="L82" i="20" l="1"/>
  <c r="N82" i="20" s="1"/>
  <c r="O82" i="20" s="1"/>
  <c r="K83" i="20" s="1"/>
  <c r="P83" i="20" s="1"/>
  <c r="Q84" i="20"/>
  <c r="M84" i="20" s="1"/>
  <c r="J85" i="20"/>
  <c r="L83" i="20" l="1"/>
  <c r="N83" i="20" s="1"/>
  <c r="O83" i="20" s="1"/>
  <c r="K84" i="20" s="1"/>
  <c r="P84" i="20" s="1"/>
  <c r="Q85" i="20"/>
  <c r="M85" i="20" s="1"/>
  <c r="J86" i="20"/>
  <c r="Q86" i="20" l="1"/>
  <c r="M86" i="20" s="1"/>
  <c r="J87" i="20"/>
  <c r="L84" i="20"/>
  <c r="N84" i="20" s="1"/>
  <c r="O84" i="20" s="1"/>
  <c r="K85" i="20" s="1"/>
  <c r="P85" i="20" s="1"/>
  <c r="Q87" i="20" l="1"/>
  <c r="M87" i="20" s="1"/>
  <c r="J88" i="20"/>
  <c r="L85" i="20"/>
  <c r="N85" i="20" s="1"/>
  <c r="O85" i="20" s="1"/>
  <c r="K86" i="20" s="1"/>
  <c r="P86" i="20" s="1"/>
  <c r="L86" i="20" l="1"/>
  <c r="N86" i="20" s="1"/>
  <c r="O86" i="20" s="1"/>
  <c r="K87" i="20" s="1"/>
  <c r="P87" i="20" s="1"/>
  <c r="Q88" i="20"/>
  <c r="M88" i="20" s="1"/>
  <c r="J89" i="20"/>
  <c r="L87" i="20" l="1"/>
  <c r="N87" i="20" s="1"/>
  <c r="O87" i="20" s="1"/>
  <c r="K88" i="20" s="1"/>
  <c r="P88" i="20" s="1"/>
  <c r="Q89" i="20"/>
  <c r="M89" i="20" s="1"/>
  <c r="J90" i="20"/>
  <c r="Q90" i="20" l="1"/>
  <c r="M90" i="20" s="1"/>
  <c r="J91" i="20"/>
  <c r="L88" i="20"/>
  <c r="N88" i="20" s="1"/>
  <c r="O88" i="20" s="1"/>
  <c r="K89" i="20" s="1"/>
  <c r="P89" i="20" s="1"/>
  <c r="L89" i="20" l="1"/>
  <c r="N89" i="20" s="1"/>
  <c r="O89" i="20" s="1"/>
  <c r="K90" i="20" s="1"/>
  <c r="P90" i="20" s="1"/>
  <c r="Q91" i="20"/>
  <c r="M91" i="20" s="1"/>
  <c r="J92" i="20"/>
  <c r="L90" i="20" l="1"/>
  <c r="N90" i="20" s="1"/>
  <c r="O90" i="20" s="1"/>
  <c r="K91" i="20" s="1"/>
  <c r="P91" i="20" s="1"/>
  <c r="Q92" i="20"/>
  <c r="M92" i="20" s="1"/>
  <c r="J93" i="20"/>
  <c r="Q93" i="20" l="1"/>
  <c r="M93" i="20" s="1"/>
  <c r="J94" i="20"/>
  <c r="L91" i="20"/>
  <c r="N91" i="20" s="1"/>
  <c r="O91" i="20" s="1"/>
  <c r="K92" i="20" s="1"/>
  <c r="P92" i="20" s="1"/>
  <c r="L92" i="20" l="1"/>
  <c r="N92" i="20" s="1"/>
  <c r="O92" i="20" s="1"/>
  <c r="K93" i="20" s="1"/>
  <c r="P93" i="20" s="1"/>
  <c r="Q94" i="20"/>
  <c r="M94" i="20" s="1"/>
  <c r="J95" i="20"/>
  <c r="L93" i="20" l="1"/>
  <c r="N93" i="20" s="1"/>
  <c r="O93" i="20" s="1"/>
  <c r="K94" i="20" s="1"/>
  <c r="P94" i="20" s="1"/>
  <c r="Q95" i="20"/>
  <c r="M95" i="20" s="1"/>
  <c r="J96" i="20"/>
  <c r="L94" i="20" l="1"/>
  <c r="N94" i="20" s="1"/>
  <c r="O94" i="20" s="1"/>
  <c r="K95" i="20" s="1"/>
  <c r="P95" i="20" s="1"/>
  <c r="Q96" i="20"/>
  <c r="M96" i="20" s="1"/>
  <c r="J97" i="20"/>
  <c r="L95" i="20" l="1"/>
  <c r="N95" i="20" s="1"/>
  <c r="O95" i="20" s="1"/>
  <c r="K96" i="20" s="1"/>
  <c r="P96" i="20" s="1"/>
  <c r="Q97" i="20"/>
  <c r="M97" i="20" s="1"/>
  <c r="J98" i="20"/>
  <c r="Q98" i="20" s="1"/>
  <c r="M98" i="20" s="1"/>
  <c r="L96" i="20" l="1"/>
  <c r="N96" i="20" s="1"/>
  <c r="O96" i="20" s="1"/>
  <c r="K97" i="20" s="1"/>
  <c r="P97" i="20" s="1"/>
  <c r="L97" i="20" l="1"/>
  <c r="N97" i="20" s="1"/>
  <c r="O97" i="20" s="1"/>
  <c r="K98" i="20" s="1"/>
  <c r="P98" i="20" l="1"/>
  <c r="B31" i="15" s="1"/>
  <c r="L98" i="20"/>
  <c r="N98" i="20" s="1"/>
  <c r="O98" i="20" s="1"/>
  <c r="B32" i="15" l="1"/>
  <c r="B3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Giorgio</author>
    <author>Giorgio Tangherlini</author>
  </authors>
  <commentList>
    <comment ref="B19" authorId="0" shapeId="0" xr:uid="{C1AAEEDB-E0E1-4DB5-8DE3-CFA1718D64B2}">
      <text>
        <r>
          <rPr>
            <sz val="9"/>
            <color indexed="81"/>
            <rFont val="Tahoma"/>
            <family val="2"/>
          </rPr>
          <t>12 = frequenza mensile
4 = frequenza trimestrale
3 = frequenza quadrimestrale
2 = frequenza semestrale
1 = frequenza annuale
0 = nessuna rata di preammortamento</t>
        </r>
      </text>
    </comment>
    <comment ref="B22" authorId="0" shapeId="0" xr:uid="{B4E901A6-8853-4D6D-ADDF-E5B12E383A2F}">
      <text>
        <r>
          <rPr>
            <sz val="9"/>
            <color indexed="81"/>
            <rFont val="Tahoma"/>
            <family val="2"/>
          </rPr>
          <t>12 = frequenza mensile
4 = frequenza trimestrale
3 = frequenza quadrimestrale
2 = frequenza semestrale
1 = frequenza annuale</t>
        </r>
      </text>
    </comment>
    <comment ref="B33" authorId="1" shapeId="0" xr:uid="{3BF489EB-1895-4517-A926-B5C15CAAC4B1}">
      <text>
        <r>
          <rPr>
            <sz val="9"/>
            <color indexed="81"/>
            <rFont val="Tahoma"/>
            <family val="2"/>
          </rPr>
          <t>Sulla base delle disposizioni operative del FCG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2" authorId="0" shapeId="0" xr:uid="{E1A524B3-B777-48F9-9AAC-F4D11893263D}">
      <text>
        <r>
          <rPr>
            <sz val="8"/>
            <color indexed="8"/>
            <rFont val="Tahoma"/>
            <family val="2"/>
          </rPr>
          <t>Commissione Unione Europea</t>
        </r>
      </text>
    </comment>
  </commentList>
</comments>
</file>

<file path=xl/sharedStrings.xml><?xml version="1.0" encoding="utf-8"?>
<sst xmlns="http://schemas.openxmlformats.org/spreadsheetml/2006/main" count="66" uniqueCount="58">
  <si>
    <t>PIANO DI PREAMMORTAMENTO</t>
  </si>
  <si>
    <t>Quote interessi attualizzate ai fini del calcolo dell'ESL</t>
  </si>
  <si>
    <t>Numero rata</t>
  </si>
  <si>
    <t>Quota interessi</t>
  </si>
  <si>
    <t>Quota capitale</t>
  </si>
  <si>
    <t>Rata complessiva</t>
  </si>
  <si>
    <t>Debito estinto</t>
  </si>
  <si>
    <t xml:space="preserve">Debito residuo </t>
  </si>
  <si>
    <t xml:space="preserve">PIANO DI AMMORTAMENTO </t>
  </si>
  <si>
    <t>Numero di rate in un anno nel periodo di preammortamento</t>
  </si>
  <si>
    <t>Numero di rate in un anno nel periodo di ammortamento</t>
  </si>
  <si>
    <t>Numero rate totali di preammortamento</t>
  </si>
  <si>
    <t>Numero rate totali di ammortamento</t>
  </si>
  <si>
    <t>Frequenza</t>
  </si>
  <si>
    <t>Tasso di interesse periodale - periodo di ammortamento</t>
  </si>
  <si>
    <t>Tasso di interesse periodale - periodo di preammortamento</t>
  </si>
  <si>
    <t>Contributo quota interessi</t>
  </si>
  <si>
    <t>Importo Finanziamento</t>
  </si>
  <si>
    <t>Tasso di Riferimento Europeo (anno/mese di concessione)</t>
  </si>
  <si>
    <t>TAN Prestito</t>
  </si>
  <si>
    <t>Durata periodo di preammortamento (in mesi)</t>
  </si>
  <si>
    <t>Durata periodo di ammortamento (in mesi)</t>
  </si>
  <si>
    <t>Durata complessiva prestito (mm)</t>
  </si>
  <si>
    <t>Margine attualiazzazione - Comunicazione 2008/C 14/02</t>
  </si>
  <si>
    <t>Totale ESL</t>
  </si>
  <si>
    <t>Totale Sovvenzione</t>
  </si>
  <si>
    <t>ESL riassicurazione FNC-ORD</t>
  </si>
  <si>
    <t>DE MINIMIS</t>
  </si>
  <si>
    <t>Fr fattore di rischio</t>
  </si>
  <si>
    <t>C costi amministr.</t>
  </si>
  <si>
    <t>R remunerazione capitale</t>
  </si>
  <si>
    <t>G% premio una tantum effettivo</t>
  </si>
  <si>
    <t>D (prestito)</t>
  </si>
  <si>
    <t>Z (% garantita dal Fondo)</t>
  </si>
  <si>
    <t>importo garantito (D*Z)</t>
  </si>
  <si>
    <t>t durata (in anni arrotondata per eccesso)</t>
  </si>
  <si>
    <t>i tasso di riferimento</t>
  </si>
  <si>
    <t>rata costante D al tasso i</t>
  </si>
  <si>
    <t>anni</t>
  </si>
  <si>
    <t>Dt debito residuo</t>
  </si>
  <si>
    <t xml:space="preserve">interessi </t>
  </si>
  <si>
    <t>quota capitale</t>
  </si>
  <si>
    <t xml:space="preserve">rata costante </t>
  </si>
  <si>
    <r>
      <rPr>
        <b/>
        <sz val="10"/>
        <rFont val="Arial"/>
        <family val="2"/>
      </rPr>
      <t>It = Dt Z (F</t>
    </r>
    <r>
      <rPr>
        <b/>
        <vertAlign val="subscript"/>
        <sz val="10"/>
        <rFont val="Arial"/>
        <family val="2"/>
      </rPr>
      <t>R</t>
    </r>
    <r>
      <rPr>
        <b/>
        <sz val="10"/>
        <rFont val="Arial"/>
        <family val="2"/>
      </rPr>
      <t xml:space="preserve"> + C + R)</t>
    </r>
  </si>
  <si>
    <r>
      <rPr>
        <b/>
        <sz val="12"/>
        <rFont val="Symbol"/>
        <family val="1"/>
        <charset val="2"/>
      </rPr>
      <t>S</t>
    </r>
    <r>
      <rPr>
        <b/>
        <sz val="12"/>
        <rFont val="Times New Roman"/>
        <family val="1"/>
      </rPr>
      <t xml:space="preserve"> I</t>
    </r>
    <r>
      <rPr>
        <b/>
        <vertAlign val="subscript"/>
        <sz val="12"/>
        <rFont val="Times New Roman"/>
        <family val="1"/>
      </rPr>
      <t xml:space="preserve">t </t>
    </r>
    <r>
      <rPr>
        <b/>
        <sz val="12"/>
        <rFont val="Times New Roman"/>
        <family val="1"/>
      </rPr>
      <t>attualizzati</t>
    </r>
  </si>
  <si>
    <t>G (valore)</t>
  </si>
  <si>
    <t xml:space="preserve">ESL valore </t>
  </si>
  <si>
    <t>Fattore di rischio per calcolo ESL riassicurazione</t>
  </si>
  <si>
    <t>Valorizzare i campi in rosso</t>
  </si>
  <si>
    <t>Totale oneri Confidi (ad esclusione di azioni/quote/pegni/cauzioni)</t>
  </si>
  <si>
    <t>Altri oneri Confidi applicabili (ad eccezione della commissione di garanzia)</t>
  </si>
  <si>
    <t>Presenza FCG</t>
  </si>
  <si>
    <t>Percentuale garanzia I grado con FNC-ORD</t>
  </si>
  <si>
    <t>Percentuale garanzia I grado (totale)</t>
  </si>
  <si>
    <t>Percentuale garanzia I grado con FCG (se presente)</t>
  </si>
  <si>
    <t>TAN (max 2,5%) - pre amm.to</t>
  </si>
  <si>
    <t>TAN (max 2,5%) -  amm.to</t>
  </si>
  <si>
    <t>SI'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</si>
</sst>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&quot;€&quot;\ #,##0.00"/>
    <numFmt numFmtId="167" formatCode="_-* #,##0_-;\-* #,##0_-;_-* &quot;-&quot;??_-;_-@_-"/>
    <numFmt numFmtId="168" formatCode="&quot;€ &quot;#,##0.00;&quot;-€ &quot;#,##0.00"/>
    <numFmt numFmtId="169" formatCode="0.0000%"/>
    <numFmt numFmtId="170" formatCode="0.000%"/>
    <numFmt numFmtId="171" formatCode="_-* #,##0.00_-;\-* #,##0.00_-;_-* \-??_-;_-@_-"/>
    <numFmt numFmtId="172" formatCode="&quot;€ &quot;#,##0.00;[Red]&quot;-€ &quot;#,##0.00"/>
    <numFmt numFmtId="173" formatCode="dd/mm/yy"/>
  </numFmts>
  <fonts count="24" x14ac:knownFonts="1">
    <font>
      <sz val="10"/>
      <name val="Century Gothic"/>
      <family val="2"/>
    </font>
    <font>
      <sz val="10"/>
      <name val="Century Gothic"/>
      <family val="2"/>
    </font>
    <font>
      <b/>
      <sz val="10.5"/>
      <name val="Calibri Light"/>
      <family val="1"/>
      <scheme val="major"/>
    </font>
    <font>
      <sz val="10"/>
      <name val="Calibri Light"/>
      <family val="1"/>
      <scheme val="major"/>
    </font>
    <font>
      <sz val="10"/>
      <color rgb="FFFF0000"/>
      <name val="Calibri Light"/>
      <family val="1"/>
      <scheme val="major"/>
    </font>
    <font>
      <sz val="9"/>
      <color indexed="81"/>
      <name val="Tahoma"/>
      <family val="2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sz val="10.5"/>
      <color rgb="FFFF0000"/>
      <name val="Calibri Light"/>
      <family val="1"/>
      <scheme val="major"/>
    </font>
    <font>
      <b/>
      <sz val="16"/>
      <name val="Arial"/>
      <family val="2"/>
    </font>
    <font>
      <b/>
      <sz val="10"/>
      <color indexed="12"/>
      <name val="Arial"/>
      <family val="2"/>
    </font>
    <font>
      <sz val="10"/>
      <color indexed="56"/>
      <name val="Arial"/>
      <family val="2"/>
    </font>
    <font>
      <sz val="16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vertAlign val="subscript"/>
      <sz val="10"/>
      <name val="Arial"/>
      <family val="2"/>
    </font>
    <font>
      <b/>
      <sz val="12"/>
      <name val="Symbol"/>
      <family val="1"/>
      <charset val="2"/>
    </font>
    <font>
      <b/>
      <sz val="12"/>
      <name val="Times New Roman"/>
      <family val="1"/>
    </font>
    <font>
      <b/>
      <vertAlign val="subscript"/>
      <sz val="12"/>
      <name val="Times New Roman"/>
      <family val="1"/>
    </font>
    <font>
      <sz val="8"/>
      <color indexed="8"/>
      <name val="Tahoma"/>
      <family val="2"/>
    </font>
    <font>
      <u/>
      <sz val="10.5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8" fontId="0" fillId="0" borderId="0" xfId="0" applyNumberFormat="1"/>
    <xf numFmtId="164" fontId="0" fillId="0" borderId="0" xfId="0" applyNumberFormat="1"/>
    <xf numFmtId="3" fontId="7" fillId="0" borderId="1" xfId="0" applyNumberFormat="1" applyFont="1" applyBorder="1" applyAlignment="1" applyProtection="1">
      <alignment horizontal="left" vertical="center" wrapText="1"/>
      <protection hidden="1"/>
    </xf>
    <xf numFmtId="3" fontId="3" fillId="0" borderId="1" xfId="0" applyNumberFormat="1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3" fontId="3" fillId="0" borderId="1" xfId="0" applyNumberFormat="1" applyFont="1" applyBorder="1" applyAlignment="1" applyProtection="1">
      <alignment horizontal="left" vertical="center"/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3" fontId="3" fillId="0" borderId="7" xfId="0" applyNumberFormat="1" applyFont="1" applyBorder="1" applyAlignment="1" applyProtection="1">
      <alignment horizontal="left" vertical="center" wrapText="1"/>
      <protection hidden="1"/>
    </xf>
    <xf numFmtId="3" fontId="3" fillId="0" borderId="6" xfId="0" applyNumberFormat="1" applyFont="1" applyBorder="1" applyAlignment="1" applyProtection="1">
      <alignment horizontal="left" vertical="center" wrapText="1"/>
      <protection hidden="1"/>
    </xf>
    <xf numFmtId="3" fontId="3" fillId="0" borderId="7" xfId="0" applyNumberFormat="1" applyFont="1" applyBorder="1" applyAlignment="1" applyProtection="1">
      <alignment vertical="center" wrapText="1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3" fontId="3" fillId="0" borderId="6" xfId="0" applyNumberFormat="1" applyFont="1" applyBorder="1" applyAlignment="1" applyProtection="1">
      <alignment horizontal="left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3" fontId="7" fillId="0" borderId="8" xfId="0" applyNumberFormat="1" applyFont="1" applyBorder="1" applyAlignment="1" applyProtection="1">
      <alignment horizontal="left" vertical="center"/>
      <protection hidden="1"/>
    </xf>
    <xf numFmtId="43" fontId="4" fillId="0" borderId="1" xfId="2" applyFont="1" applyFill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10" fontId="8" fillId="0" borderId="7" xfId="3" applyNumberFormat="1" applyFont="1" applyFill="1" applyBorder="1" applyAlignment="1" applyProtection="1">
      <alignment vertical="center"/>
      <protection locked="0"/>
    </xf>
    <xf numFmtId="43" fontId="0" fillId="0" borderId="0" xfId="2" applyFont="1"/>
    <xf numFmtId="3" fontId="7" fillId="0" borderId="6" xfId="0" applyNumberFormat="1" applyFont="1" applyBorder="1" applyAlignment="1" applyProtection="1">
      <alignment horizontal="left" vertical="center" wrapText="1"/>
      <protection hidden="1"/>
    </xf>
    <xf numFmtId="43" fontId="4" fillId="0" borderId="6" xfId="2" applyFont="1" applyFill="1" applyBorder="1" applyAlignment="1" applyProtection="1">
      <alignment vertical="center"/>
      <protection locked="0"/>
    </xf>
    <xf numFmtId="9" fontId="4" fillId="0" borderId="6" xfId="3" applyFont="1" applyFill="1" applyBorder="1" applyAlignment="1" applyProtection="1">
      <alignment vertical="center"/>
      <protection locked="0"/>
    </xf>
    <xf numFmtId="1" fontId="4" fillId="0" borderId="6" xfId="2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top"/>
      <protection hidden="1"/>
    </xf>
    <xf numFmtId="10" fontId="3" fillId="0" borderId="6" xfId="3" applyNumberFormat="1" applyFont="1" applyFill="1" applyBorder="1" applyAlignment="1" applyProtection="1">
      <alignment vertical="center"/>
    </xf>
    <xf numFmtId="0" fontId="3" fillId="0" borderId="6" xfId="0" applyFont="1" applyBorder="1" applyAlignment="1">
      <alignment vertical="center" wrapText="1"/>
    </xf>
    <xf numFmtId="10" fontId="3" fillId="0" borderId="1" xfId="0" applyNumberFormat="1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0" fontId="3" fillId="0" borderId="6" xfId="0" applyNumberFormat="1" applyFont="1" applyBorder="1" applyAlignment="1">
      <alignment vertical="center"/>
    </xf>
    <xf numFmtId="10" fontId="7" fillId="0" borderId="8" xfId="3" applyNumberFormat="1" applyFont="1" applyFill="1" applyBorder="1" applyAlignment="1" applyProtection="1">
      <alignment horizontal="right" vertical="center"/>
    </xf>
    <xf numFmtId="3" fontId="7" fillId="0" borderId="9" xfId="0" applyNumberFormat="1" applyFont="1" applyBorder="1" applyAlignment="1" applyProtection="1">
      <alignment horizontal="left" vertical="center"/>
      <protection hidden="1"/>
    </xf>
    <xf numFmtId="0" fontId="7" fillId="3" borderId="1" xfId="0" applyFont="1" applyFill="1" applyBorder="1" applyAlignment="1" applyProtection="1">
      <alignment horizontal="left" vertical="center"/>
      <protection hidden="1"/>
    </xf>
    <xf numFmtId="43" fontId="3" fillId="3" borderId="1" xfId="2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 wrapText="1"/>
      <protection hidden="1"/>
    </xf>
    <xf numFmtId="0" fontId="10" fillId="0" borderId="0" xfId="0" applyFont="1" applyAlignment="1">
      <alignment wrapText="1"/>
    </xf>
    <xf numFmtId="0" fontId="11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0" fillId="0" borderId="0" xfId="0" applyProtection="1">
      <protection hidden="1"/>
    </xf>
    <xf numFmtId="0" fontId="11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horizontal="right"/>
      <protection hidden="1"/>
    </xf>
    <xf numFmtId="169" fontId="0" fillId="0" borderId="0" xfId="3" applyNumberFormat="1" applyFont="1" applyFill="1" applyBorder="1" applyAlignment="1" applyProtection="1">
      <protection hidden="1"/>
    </xf>
    <xf numFmtId="10" fontId="0" fillId="0" borderId="0" xfId="0" applyNumberFormat="1" applyProtection="1">
      <protection hidden="1"/>
    </xf>
    <xf numFmtId="171" fontId="0" fillId="0" borderId="0" xfId="0" applyNumberFormat="1" applyProtection="1">
      <protection hidden="1"/>
    </xf>
    <xf numFmtId="0" fontId="14" fillId="0" borderId="0" xfId="0" applyFont="1" applyAlignment="1" applyProtection="1">
      <alignment horizontal="right"/>
      <protection hidden="1"/>
    </xf>
    <xf numFmtId="172" fontId="14" fillId="0" borderId="0" xfId="2" applyNumberFormat="1" applyFont="1" applyFill="1" applyBorder="1" applyAlignment="1" applyProtection="1">
      <protection hidden="1"/>
    </xf>
    <xf numFmtId="171" fontId="14" fillId="0" borderId="0" xfId="0" applyNumberFormat="1" applyFont="1" applyProtection="1">
      <protection hidden="1"/>
    </xf>
    <xf numFmtId="172" fontId="14" fillId="0" borderId="0" xfId="0" applyNumberFormat="1" applyFont="1" applyAlignment="1" applyProtection="1">
      <alignment horizontal="right"/>
      <protection hidden="1"/>
    </xf>
    <xf numFmtId="172" fontId="14" fillId="0" borderId="0" xfId="0" applyNumberFormat="1" applyFont="1" applyProtection="1">
      <protection hidden="1"/>
    </xf>
    <xf numFmtId="171" fontId="0" fillId="0" borderId="0" xfId="2" applyNumberFormat="1" applyFont="1" applyFill="1" applyBorder="1" applyAlignment="1" applyProtection="1">
      <protection hidden="1"/>
    </xf>
    <xf numFmtId="172" fontId="0" fillId="0" borderId="0" xfId="0" applyNumberFormat="1" applyProtection="1">
      <protection hidden="1"/>
    </xf>
    <xf numFmtId="172" fontId="0" fillId="0" borderId="0" xfId="2" applyNumberFormat="1" applyFont="1" applyFill="1" applyBorder="1" applyAlignment="1" applyProtection="1">
      <protection hidden="1"/>
    </xf>
    <xf numFmtId="173" fontId="0" fillId="0" borderId="0" xfId="0" applyNumberFormat="1" applyProtection="1">
      <protection hidden="1"/>
    </xf>
    <xf numFmtId="43" fontId="0" fillId="0" borderId="0" xfId="2" applyFont="1" applyFill="1" applyBorder="1" applyAlignment="1" applyProtection="1">
      <protection hidden="1"/>
    </xf>
    <xf numFmtId="0" fontId="19" fillId="0" borderId="0" xfId="0" applyFont="1" applyAlignment="1" applyProtection="1">
      <alignment horizontal="right"/>
      <protection hidden="1"/>
    </xf>
    <xf numFmtId="171" fontId="0" fillId="0" borderId="11" xfId="0" applyNumberFormat="1" applyBorder="1" applyProtection="1">
      <protection hidden="1"/>
    </xf>
    <xf numFmtId="0" fontId="16" fillId="7" borderId="0" xfId="0" applyFont="1" applyFill="1" applyAlignment="1" applyProtection="1">
      <alignment horizontal="right"/>
      <protection hidden="1"/>
    </xf>
    <xf numFmtId="171" fontId="16" fillId="7" borderId="0" xfId="0" applyNumberFormat="1" applyFont="1" applyFill="1" applyProtection="1">
      <protection hidden="1"/>
    </xf>
    <xf numFmtId="168" fontId="13" fillId="7" borderId="10" xfId="0" applyNumberFormat="1" applyFont="1" applyFill="1" applyBorder="1" applyAlignment="1" applyProtection="1">
      <alignment vertical="center"/>
      <protection hidden="1"/>
    </xf>
    <xf numFmtId="3" fontId="7" fillId="3" borderId="1" xfId="0" applyNumberFormat="1" applyFont="1" applyFill="1" applyBorder="1" applyAlignment="1" applyProtection="1">
      <alignment horizontal="left" vertical="center"/>
      <protection hidden="1"/>
    </xf>
    <xf numFmtId="43" fontId="7" fillId="3" borderId="1" xfId="2" applyFont="1" applyFill="1" applyBorder="1" applyAlignment="1" applyProtection="1">
      <alignment horizontal="right" vertical="center"/>
    </xf>
    <xf numFmtId="3" fontId="6" fillId="4" borderId="9" xfId="0" applyNumberFormat="1" applyFont="1" applyFill="1" applyBorder="1" applyAlignment="1" applyProtection="1">
      <alignment horizontal="left" vertical="center"/>
      <protection hidden="1"/>
    </xf>
    <xf numFmtId="43" fontId="6" fillId="4" borderId="9" xfId="2" applyFont="1" applyFill="1" applyBorder="1" applyAlignment="1" applyProtection="1">
      <alignment horizontal="right" vertical="center"/>
    </xf>
    <xf numFmtId="3" fontId="6" fillId="6" borderId="5" xfId="0" applyNumberFormat="1" applyFont="1" applyFill="1" applyBorder="1" applyAlignment="1" applyProtection="1">
      <alignment horizontal="left" vertical="center"/>
      <protection hidden="1"/>
    </xf>
    <xf numFmtId="43" fontId="6" fillId="6" borderId="5" xfId="2" applyFont="1" applyFill="1" applyBorder="1" applyAlignment="1" applyProtection="1">
      <alignment horizontal="right" vertical="center"/>
    </xf>
    <xf numFmtId="3" fontId="7" fillId="0" borderId="7" xfId="0" applyNumberFormat="1" applyFont="1" applyBorder="1" applyAlignment="1" applyProtection="1">
      <alignment horizontal="left" vertical="center"/>
      <protection hidden="1"/>
    </xf>
    <xf numFmtId="3" fontId="6" fillId="5" borderId="8" xfId="0" applyNumberFormat="1" applyFont="1" applyFill="1" applyBorder="1" applyAlignment="1" applyProtection="1">
      <alignment horizontal="left" vertical="center"/>
      <protection hidden="1"/>
    </xf>
    <xf numFmtId="43" fontId="6" fillId="5" borderId="8" xfId="2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vertical="center" wrapText="1"/>
      <protection hidden="1"/>
    </xf>
    <xf numFmtId="10" fontId="17" fillId="0" borderId="0" xfId="0" applyNumberFormat="1" applyFont="1"/>
    <xf numFmtId="170" fontId="17" fillId="0" borderId="0" xfId="0" applyNumberFormat="1" applyFont="1"/>
    <xf numFmtId="43" fontId="17" fillId="0" borderId="0" xfId="2" applyFont="1" applyFill="1" applyBorder="1" applyAlignment="1" applyProtection="1"/>
    <xf numFmtId="1" fontId="17" fillId="0" borderId="0" xfId="0" applyNumberFormat="1" applyFont="1"/>
    <xf numFmtId="10" fontId="17" fillId="0" borderId="0" xfId="3" applyNumberFormat="1" applyFont="1" applyProtection="1"/>
    <xf numFmtId="10" fontId="0" fillId="0" borderId="0" xfId="0" applyNumberFormat="1"/>
    <xf numFmtId="171" fontId="0" fillId="0" borderId="0" xfId="0" applyNumberFormat="1"/>
    <xf numFmtId="3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167" fontId="0" fillId="0" borderId="1" xfId="2" applyNumberFormat="1" applyFont="1" applyBorder="1" applyProtection="1"/>
    <xf numFmtId="43" fontId="0" fillId="0" borderId="1" xfId="2" applyFont="1" applyBorder="1" applyProtection="1"/>
    <xf numFmtId="43" fontId="0" fillId="0" borderId="1" xfId="2" applyFont="1" applyBorder="1" applyAlignment="1" applyProtection="1">
      <alignment horizontal="right"/>
    </xf>
    <xf numFmtId="43" fontId="8" fillId="0" borderId="9" xfId="2" applyFont="1" applyFill="1" applyBorder="1" applyAlignment="1" applyProtection="1">
      <alignment horizontal="right" vertical="center"/>
      <protection locked="0"/>
    </xf>
    <xf numFmtId="10" fontId="8" fillId="0" borderId="7" xfId="3" applyNumberFormat="1" applyFont="1" applyFill="1" applyBorder="1" applyAlignment="1" applyProtection="1">
      <alignment horizontal="right" vertical="center"/>
      <protection locked="0"/>
    </xf>
    <xf numFmtId="9" fontId="3" fillId="0" borderId="6" xfId="3" applyFont="1" applyFill="1" applyBorder="1" applyAlignment="1" applyProtection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">
    <cellStyle name="Euro" xfId="1" xr:uid="{00000000-0005-0000-0000-000000000000}"/>
    <cellStyle name="Migliaia" xfId="2" builtinId="3"/>
    <cellStyle name="Normale" xfId="0" builtinId="0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58483</xdr:rowOff>
    </xdr:from>
    <xdr:to>
      <xdr:col>0</xdr:col>
      <xdr:colOff>1317027</xdr:colOff>
      <xdr:row>44</xdr:row>
      <xdr:rowOff>17986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3BD8136-3036-46A4-B8A6-EA4A09DBD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9565"/>
          <a:ext cx="1313217" cy="6522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97453</xdr:colOff>
      <xdr:row>6</xdr:row>
      <xdr:rowOff>55619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682594E-AB77-4F12-A930-0BA9E1D5BEF2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t="90113"/>
        <a:stretch/>
      </xdr:blipFill>
      <xdr:spPr bwMode="auto">
        <a:xfrm>
          <a:off x="0" y="0"/>
          <a:ext cx="7545555" cy="106795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37D6-AA66-47AB-9398-A7F163ED932F}">
  <dimension ref="A8:L40"/>
  <sheetViews>
    <sheetView tabSelected="1" zoomScale="85" zoomScaleNormal="85" workbookViewId="0">
      <selection activeCell="F23" sqref="F23"/>
    </sheetView>
  </sheetViews>
  <sheetFormatPr defaultRowHeight="13.2" x14ac:dyDescent="0.25"/>
  <cols>
    <col min="1" max="1" width="58.88671875" bestFit="1" customWidth="1"/>
    <col min="2" max="2" width="11.33203125" customWidth="1"/>
    <col min="3" max="3" width="12.33203125" bestFit="1" customWidth="1"/>
    <col min="4" max="4" width="14.33203125" bestFit="1" customWidth="1"/>
    <col min="5" max="5" width="12" bestFit="1" customWidth="1"/>
    <col min="6" max="6" width="12.6640625" bestFit="1" customWidth="1"/>
    <col min="7" max="7" width="42.5546875" bestFit="1" customWidth="1"/>
    <col min="8" max="8" width="2.109375" bestFit="1" customWidth="1"/>
    <col min="10" max="10" width="10.6640625" bestFit="1" customWidth="1"/>
    <col min="11" max="11" width="12.6640625" bestFit="1" customWidth="1"/>
    <col min="12" max="12" width="12.33203125" bestFit="1" customWidth="1"/>
    <col min="13" max="13" width="14.33203125" bestFit="1" customWidth="1"/>
    <col min="14" max="14" width="14" customWidth="1"/>
    <col min="15" max="15" width="13.6640625" customWidth="1"/>
    <col min="16" max="16" width="42.5546875" bestFit="1" customWidth="1"/>
    <col min="17" max="17" width="2.109375" bestFit="1" customWidth="1"/>
  </cols>
  <sheetData>
    <row r="8" spans="1:11" ht="14.4" x14ac:dyDescent="0.25">
      <c r="A8" s="74" t="s">
        <v>48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14.4" x14ac:dyDescent="0.25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3.8" x14ac:dyDescent="0.25">
      <c r="A10" s="5" t="s">
        <v>17</v>
      </c>
      <c r="B10" s="17">
        <v>50000</v>
      </c>
      <c r="C10" s="2"/>
      <c r="D10" s="2"/>
      <c r="E10" s="4"/>
    </row>
    <row r="11" spans="1:11" ht="13.8" x14ac:dyDescent="0.25">
      <c r="A11" s="23" t="s">
        <v>52</v>
      </c>
      <c r="B11" s="25">
        <v>0.6</v>
      </c>
      <c r="C11" s="2"/>
      <c r="D11" s="2"/>
      <c r="E11" s="4"/>
    </row>
    <row r="12" spans="1:11" ht="13.8" x14ac:dyDescent="0.25">
      <c r="A12" s="23" t="s">
        <v>54</v>
      </c>
      <c r="B12" s="25">
        <v>0.1</v>
      </c>
      <c r="C12" s="2"/>
      <c r="D12" s="2"/>
      <c r="E12" s="4"/>
    </row>
    <row r="13" spans="1:11" ht="13.8" x14ac:dyDescent="0.25">
      <c r="A13" s="23" t="s">
        <v>53</v>
      </c>
      <c r="B13" s="89">
        <f>+B11+B12</f>
        <v>0.7</v>
      </c>
      <c r="C13" s="2"/>
      <c r="D13" s="2"/>
      <c r="E13" s="4"/>
    </row>
    <row r="14" spans="1:11" ht="13.8" x14ac:dyDescent="0.25">
      <c r="A14" s="23" t="s">
        <v>19</v>
      </c>
      <c r="B14" s="25">
        <v>0.08</v>
      </c>
      <c r="C14" s="2"/>
      <c r="D14" s="2"/>
      <c r="E14" s="4"/>
    </row>
    <row r="15" spans="1:11" ht="13.8" x14ac:dyDescent="0.25">
      <c r="A15" s="23" t="s">
        <v>22</v>
      </c>
      <c r="B15" s="26">
        <v>96</v>
      </c>
      <c r="C15" s="2"/>
      <c r="D15" s="2"/>
      <c r="E15" s="4"/>
    </row>
    <row r="16" spans="1:11" ht="13.8" x14ac:dyDescent="0.25">
      <c r="A16" s="23" t="s">
        <v>51</v>
      </c>
      <c r="B16" s="24" t="s">
        <v>57</v>
      </c>
      <c r="C16" s="2"/>
      <c r="D16" s="2"/>
      <c r="E16" s="4"/>
    </row>
    <row r="17" spans="1:12" ht="13.8" x14ac:dyDescent="0.25">
      <c r="A17" s="9" t="s">
        <v>55</v>
      </c>
      <c r="B17" s="28">
        <f>MIN(2.5%,B14)</f>
        <v>2.5000000000000001E-2</v>
      </c>
      <c r="C17" s="2"/>
      <c r="D17" s="2"/>
      <c r="E17" s="4"/>
    </row>
    <row r="18" spans="1:12" ht="14.4" thickBot="1" x14ac:dyDescent="0.3">
      <c r="A18" s="9" t="s">
        <v>56</v>
      </c>
      <c r="B18" s="28">
        <f>MIN(2.5%,B14)</f>
        <v>2.5000000000000001E-2</v>
      </c>
      <c r="C18" s="2"/>
      <c r="D18" s="2"/>
    </row>
    <row r="19" spans="1:12" ht="15" customHeight="1" x14ac:dyDescent="0.25">
      <c r="A19" s="10" t="s">
        <v>9</v>
      </c>
      <c r="B19" s="18">
        <v>12</v>
      </c>
      <c r="C19" s="2"/>
      <c r="D19" s="2"/>
    </row>
    <row r="20" spans="1:12" ht="13.8" x14ac:dyDescent="0.25">
      <c r="A20" s="6" t="s">
        <v>20</v>
      </c>
      <c r="B20" s="19">
        <v>0</v>
      </c>
      <c r="C20" s="2"/>
      <c r="D20" s="2"/>
    </row>
    <row r="21" spans="1:12" ht="14.4" thickBot="1" x14ac:dyDescent="0.3">
      <c r="A21" s="11" t="s">
        <v>11</v>
      </c>
      <c r="B21" s="29">
        <f>B19*B20/12</f>
        <v>0</v>
      </c>
      <c r="C21" s="2"/>
      <c r="D21" s="2"/>
    </row>
    <row r="22" spans="1:12" ht="13.8" x14ac:dyDescent="0.25">
      <c r="A22" s="12" t="s">
        <v>10</v>
      </c>
      <c r="B22" s="18">
        <v>12</v>
      </c>
      <c r="C22" s="2"/>
      <c r="D22" s="2"/>
    </row>
    <row r="23" spans="1:12" ht="13.8" x14ac:dyDescent="0.25">
      <c r="A23" s="7" t="s">
        <v>21</v>
      </c>
      <c r="B23" s="20">
        <v>96</v>
      </c>
      <c r="C23" s="2"/>
      <c r="D23" s="2"/>
    </row>
    <row r="24" spans="1:12" ht="14.4" thickBot="1" x14ac:dyDescent="0.3">
      <c r="A24" s="13" t="s">
        <v>12</v>
      </c>
      <c r="B24" s="31">
        <f>B22*B23/12</f>
        <v>96</v>
      </c>
      <c r="C24" s="2"/>
      <c r="D24" s="2"/>
      <c r="F24" s="22"/>
      <c r="L24" s="3"/>
    </row>
    <row r="25" spans="1:12" ht="13.8" x14ac:dyDescent="0.25">
      <c r="A25" s="8" t="s">
        <v>15</v>
      </c>
      <c r="B25" s="30">
        <f>IFERROR(B17/B19,0)</f>
        <v>2.0833333333333333E-3</v>
      </c>
    </row>
    <row r="26" spans="1:12" ht="14.4" thickBot="1" x14ac:dyDescent="0.3">
      <c r="A26" s="14" t="s">
        <v>14</v>
      </c>
      <c r="B26" s="32">
        <f>B18/B22</f>
        <v>2.0833333333333333E-3</v>
      </c>
    </row>
    <row r="27" spans="1:12" ht="13.8" x14ac:dyDescent="0.25">
      <c r="A27" s="15" t="s">
        <v>18</v>
      </c>
      <c r="B27" s="21">
        <v>4.1099999999999998E-2</v>
      </c>
    </row>
    <row r="28" spans="1:12" ht="14.4" thickBot="1" x14ac:dyDescent="0.3">
      <c r="A28" s="16" t="s">
        <v>23</v>
      </c>
      <c r="B28" s="33">
        <v>0.01</v>
      </c>
    </row>
    <row r="29" spans="1:12" ht="13.8" x14ac:dyDescent="0.25">
      <c r="A29" s="34" t="s">
        <v>50</v>
      </c>
      <c r="B29" s="87">
        <v>100</v>
      </c>
    </row>
    <row r="30" spans="1:12" ht="13.8" x14ac:dyDescent="0.25">
      <c r="A30" s="35" t="s">
        <v>49</v>
      </c>
      <c r="B30" s="36">
        <f>MIN(4000,B29+B10*B13*B15/12*0.6%)</f>
        <v>1780</v>
      </c>
    </row>
    <row r="31" spans="1:12" ht="13.8" x14ac:dyDescent="0.25">
      <c r="A31" s="65" t="s">
        <v>16</v>
      </c>
      <c r="B31" s="66">
        <f>MIN(6000,SUM('FNC-ORD_contributo interessi'!G3:G26,'FNC-ORD_contributo interessi'!P3:P98))</f>
        <v>4552.9679942708435</v>
      </c>
    </row>
    <row r="32" spans="1:12" ht="14.4" thickBot="1" x14ac:dyDescent="0.3">
      <c r="A32" s="67" t="s">
        <v>25</v>
      </c>
      <c r="B32" s="68">
        <f>B31+B30</f>
        <v>6332.9679942708435</v>
      </c>
    </row>
    <row r="33" spans="1:2" ht="13.8" x14ac:dyDescent="0.25">
      <c r="A33" s="71" t="s">
        <v>47</v>
      </c>
      <c r="B33" s="88">
        <v>1.9300000000000001E-2</v>
      </c>
    </row>
    <row r="34" spans="1:2" ht="14.4" thickBot="1" x14ac:dyDescent="0.3">
      <c r="A34" s="72" t="s">
        <v>26</v>
      </c>
      <c r="B34" s="73">
        <f>'FNC-ORD_ESL riassicurazione'!D1</f>
        <v>362.43927770149151</v>
      </c>
    </row>
    <row r="35" spans="1:2" ht="13.8" x14ac:dyDescent="0.25">
      <c r="A35" s="69" t="s">
        <v>24</v>
      </c>
      <c r="B35" s="70">
        <f>+B32+B34</f>
        <v>6695.4072719723354</v>
      </c>
    </row>
    <row r="38" spans="1:2" ht="14.4" x14ac:dyDescent="0.25">
      <c r="A38" s="27" t="str">
        <f>IF(AND(B16="NO",B12&gt;0%),"ATTENZIONE - E' STATO VALORIZZATO IL CAMPO Percentuale garanzia I grado con FCG (se presente) MA NON E' STATO VALORIZZATO CON SI IL CAMPO Presenza FCG",
IF(AND(B16="SI'",B12=0%),"ATTENZIONE - NON E' STATO VALORIZZATO IL CAMPO Percentuale garanzia I grado con FCG (se presente) MA E' STATO VALORIZZATO CON SI IL CAMPO Presenza FCG",
" "))</f>
        <v xml:space="preserve"> </v>
      </c>
    </row>
    <row r="39" spans="1:2" ht="14.4" x14ac:dyDescent="0.25">
      <c r="A39" s="27" t="str">
        <f>IF(B15=B20+B23," ","ATTENZIONE - E' STATA RIPORTATA UNA DURATA DEL FINANZIAMENTO NON COERENTE CON QUELLA DEL PREAMMORTAMENTO E DELL'AMMORTAMENTO")</f>
        <v xml:space="preserve"> </v>
      </c>
    </row>
    <row r="40" spans="1:2" ht="14.4" x14ac:dyDescent="0.25">
      <c r="A40" s="27" t="str">
        <f>IF(AND(B16="SI'",B13&gt;70%),"ATTENZIONE - LA PERCENTUALE DI GARANZIA DI I GRADO NON PUO' RISULTARE SUPERIORE AL 70% IN CASO DI COGARANZIA FCG"," ")</f>
        <v xml:space="preserve"> </v>
      </c>
    </row>
  </sheetData>
  <dataValidations count="9">
    <dataValidation type="decimal" allowBlank="1" showInputMessage="1" showErrorMessage="1" sqref="B10" xr:uid="{847BB09A-D7A7-4F3F-A5B3-D8FFC1AC0442}">
      <formula1>15000</formula1>
      <formula2>200000</formula2>
    </dataValidation>
    <dataValidation type="whole" operator="lessThanOrEqual" allowBlank="1" showInputMessage="1" showErrorMessage="1" sqref="B23 B15" xr:uid="{BDFD8104-B32A-496A-A62B-9AC0E93EE3E3}">
      <formula1>96</formula1>
    </dataValidation>
    <dataValidation operator="lessThanOrEqual" allowBlank="1" showInputMessage="1" showErrorMessage="1" sqref="B20" xr:uid="{E293D140-E769-4A2D-BAFD-5334441CBA0B}"/>
    <dataValidation type="decimal" operator="lessThanOrEqual" allowBlank="1" showInputMessage="1" showErrorMessage="1" sqref="B18" xr:uid="{EA2CC33E-A74D-48D9-AFD9-71C3F902A7A0}">
      <formula1>0.05</formula1>
    </dataValidation>
    <dataValidation type="decimal" operator="lessThanOrEqual" allowBlank="1" showInputMessage="1" showErrorMessage="1" sqref="B29:B30" xr:uid="{AE4603B0-1958-416E-A7CB-A1342B2094A9}">
      <formula1>5000</formula1>
    </dataValidation>
    <dataValidation type="decimal" operator="lessThanOrEqual" allowBlank="1" showInputMessage="1" showErrorMessage="1" sqref="B17" xr:uid="{E74F8D87-E86D-43B2-8405-69B7BF3AEB7C}">
      <formula1>0.0475</formula1>
    </dataValidation>
    <dataValidation type="decimal" operator="lessThanOrEqual" allowBlank="1" showInputMessage="1" showErrorMessage="1" sqref="B11:B13" xr:uid="{3996F018-B97D-484B-BF9F-0296A560B9AB}">
      <formula1>0.8</formula1>
    </dataValidation>
    <dataValidation type="decimal" operator="greaterThan" allowBlank="1" showInputMessage="1" showErrorMessage="1" sqref="B14" xr:uid="{2003503F-71EC-43D0-AB61-0DD0F656F4D3}">
      <formula1>0</formula1>
    </dataValidation>
    <dataValidation type="list" allowBlank="1" showInputMessage="1" showErrorMessage="1" sqref="B16" xr:uid="{A9F12257-86F9-43BD-98C0-01894ECF2764}">
      <formula1>"SI',NO"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822206-5255-48F6-8015-1A90087A8FEA}">
          <x14:formula1>
            <xm:f>'Frequenza rate'!$A$2:$A$7</xm:f>
          </x14:formula1>
          <xm:sqref>B19</xm:sqref>
        </x14:dataValidation>
        <x14:dataValidation type="list" allowBlank="1" showInputMessage="1" showErrorMessage="1" xr:uid="{C53B32A2-916A-496A-B556-3710E85EFDEA}">
          <x14:formula1>
            <xm:f>'Frequenza rate'!$A$2:$A$6</xm:f>
          </x14:formula1>
          <xm:sqref>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5B3AC-52E0-468F-82BB-85CA4A8EFFCA}">
  <dimension ref="A1:Q98"/>
  <sheetViews>
    <sheetView zoomScale="85" zoomScaleNormal="85" workbookViewId="0">
      <selection activeCell="F30" sqref="F30"/>
    </sheetView>
  </sheetViews>
  <sheetFormatPr defaultRowHeight="13.2" x14ac:dyDescent="0.25"/>
  <cols>
    <col min="1" max="1" width="10.6640625" bestFit="1" customWidth="1"/>
    <col min="2" max="2" width="12.6640625" bestFit="1" customWidth="1"/>
    <col min="3" max="3" width="12.33203125" bestFit="1" customWidth="1"/>
    <col min="4" max="4" width="14.33203125" bestFit="1" customWidth="1"/>
    <col min="5" max="5" width="12" bestFit="1" customWidth="1"/>
    <col min="6" max="6" width="12.6640625" bestFit="1" customWidth="1"/>
    <col min="7" max="7" width="40.5546875" customWidth="1"/>
    <col min="8" max="8" width="2" bestFit="1" customWidth="1"/>
    <col min="9" max="9" width="5.33203125" customWidth="1"/>
    <col min="10" max="10" width="10.6640625" bestFit="1" customWidth="1"/>
    <col min="11" max="11" width="12.6640625" bestFit="1" customWidth="1"/>
    <col min="12" max="12" width="12.33203125" bestFit="1" customWidth="1"/>
    <col min="13" max="13" width="14.33203125" bestFit="1" customWidth="1"/>
    <col min="14" max="14" width="12" bestFit="1" customWidth="1"/>
    <col min="15" max="15" width="12.6640625" bestFit="1" customWidth="1"/>
    <col min="16" max="16" width="39.6640625" customWidth="1"/>
    <col min="17" max="17" width="2" bestFit="1" customWidth="1"/>
  </cols>
  <sheetData>
    <row r="1" spans="1:17" ht="13.8" x14ac:dyDescent="0.25">
      <c r="A1" s="90" t="s">
        <v>0</v>
      </c>
      <c r="B1" s="91"/>
      <c r="C1" s="91"/>
      <c r="D1" s="91"/>
      <c r="E1" s="91"/>
      <c r="F1" s="91"/>
      <c r="G1" s="92"/>
      <c r="J1" s="90" t="s">
        <v>8</v>
      </c>
      <c r="K1" s="91"/>
      <c r="L1" s="91"/>
      <c r="M1" s="91"/>
      <c r="N1" s="91"/>
      <c r="O1" s="91"/>
      <c r="P1" s="92"/>
    </row>
    <row r="2" spans="1:17" ht="13.8" x14ac:dyDescent="0.25">
      <c r="A2" s="82" t="s">
        <v>2</v>
      </c>
      <c r="B2" s="82" t="s">
        <v>3</v>
      </c>
      <c r="C2" s="82" t="s">
        <v>4</v>
      </c>
      <c r="D2" s="82" t="s">
        <v>5</v>
      </c>
      <c r="E2" s="82" t="s">
        <v>6</v>
      </c>
      <c r="F2" s="82" t="s">
        <v>7</v>
      </c>
      <c r="G2" s="83" t="s">
        <v>1</v>
      </c>
      <c r="J2" s="82" t="s">
        <v>2</v>
      </c>
      <c r="K2" s="82" t="s">
        <v>3</v>
      </c>
      <c r="L2" s="82" t="s">
        <v>4</v>
      </c>
      <c r="M2" s="82" t="s">
        <v>5</v>
      </c>
      <c r="N2" s="82" t="s">
        <v>6</v>
      </c>
      <c r="O2" s="82" t="s">
        <v>7</v>
      </c>
      <c r="P2" s="83" t="s">
        <v>1</v>
      </c>
    </row>
    <row r="3" spans="1:17" x14ac:dyDescent="0.25">
      <c r="A3" s="84">
        <f>IF('FNC-ORD_prospetto riassuntivo'!B21=0,0,1)</f>
        <v>0</v>
      </c>
      <c r="B3" s="85">
        <f>'FNC-ORD_prospetto riassuntivo'!$B$10*'FNC-ORD_prospetto riassuntivo'!$B$25*H3</f>
        <v>0</v>
      </c>
      <c r="C3" s="85">
        <v>0</v>
      </c>
      <c r="D3" s="85">
        <f t="shared" ref="D3:D26" si="0">B3</f>
        <v>0</v>
      </c>
      <c r="E3" s="85">
        <v>0</v>
      </c>
      <c r="F3" s="85">
        <f>'FNC-ORD_prospetto riassuntivo'!$B$10</f>
        <v>50000</v>
      </c>
      <c r="G3" s="85">
        <f>B3/((1+IFERROR(SUM('FNC-ORD_prospetto riassuntivo'!$B$27,'FNC-ORD_prospetto riassuntivo'!$B$28)/'FNC-ORD_prospetto riassuntivo'!$B$19,0))^A3)</f>
        <v>0</v>
      </c>
      <c r="H3">
        <f>IF(A3=0,0,IF(OR(A3&lt;'FNC-ORD_prospetto riassuntivo'!$B$21,A3='FNC-ORD_prospetto riassuntivo'!$B$21),1,0))</f>
        <v>0</v>
      </c>
      <c r="J3" s="84">
        <f>MAX(A3:A38)+1</f>
        <v>1</v>
      </c>
      <c r="K3" s="85">
        <f>'FNC-ORD_prospetto riassuntivo'!$B$10*'FNC-ORD_prospetto riassuntivo'!$B$26*Q3</f>
        <v>104.16666666666667</v>
      </c>
      <c r="L3" s="85">
        <f t="shared" ref="L3:L34" si="1">M3-K3</f>
        <v>471.02549900413243</v>
      </c>
      <c r="M3" s="85">
        <f>-PMT('FNC-ORD_prospetto riassuntivo'!B26,'FNC-ORD_prospetto riassuntivo'!B24,'FNC-ORD_prospetto riassuntivo'!B10,,0)</f>
        <v>575.19216567079911</v>
      </c>
      <c r="N3" s="85">
        <f>(L3)*Q3</f>
        <v>471.02549900413243</v>
      </c>
      <c r="O3" s="85">
        <f>('FNC-ORD_prospetto riassuntivo'!$B$10-N3)*Q3</f>
        <v>49528.974500995864</v>
      </c>
      <c r="P3" s="85">
        <f>K3/(1+SUM('FNC-ORD_prospetto riassuntivo'!$B$27:$B$28)/'FNC-ORD_prospetto riassuntivo'!$B$22)^J3</f>
        <v>103.72497116445803</v>
      </c>
      <c r="Q3">
        <f>IF(J3=0,0,IF(OR(J3&lt;'FNC-ORD_prospetto riassuntivo'!$B$21+'FNC-ORD_prospetto riassuntivo'!$B$24,J3='FNC-ORD_prospetto riassuntivo'!$B$21+'FNC-ORD_prospetto riassuntivo'!$B$24),1,0))</f>
        <v>1</v>
      </c>
    </row>
    <row r="4" spans="1:17" x14ac:dyDescent="0.25">
      <c r="A4" s="84">
        <f>IF(A3=0,0,IF('FNC-ORD_prospetto riassuntivo'!$B$21&gt;A3,A3+1,0))</f>
        <v>0</v>
      </c>
      <c r="B4" s="85">
        <f>'FNC-ORD_prospetto riassuntivo'!$B$10*'FNC-ORD_prospetto riassuntivo'!$B$25*H4</f>
        <v>0</v>
      </c>
      <c r="C4" s="85">
        <v>0</v>
      </c>
      <c r="D4" s="85">
        <f t="shared" si="0"/>
        <v>0</v>
      </c>
      <c r="E4" s="85">
        <v>0</v>
      </c>
      <c r="F4" s="85">
        <f>'FNC-ORD_prospetto riassuntivo'!$B$10</f>
        <v>50000</v>
      </c>
      <c r="G4" s="85">
        <f>B4/((1+IFERROR(SUM('FNC-ORD_prospetto riassuntivo'!$B$27,'FNC-ORD_prospetto riassuntivo'!$B$28)/'FNC-ORD_prospetto riassuntivo'!$B$19,0))^A4)</f>
        <v>0</v>
      </c>
      <c r="H4">
        <f>IF(A4=0,0,IF(OR(A4&lt;'FNC-ORD_prospetto riassuntivo'!$B$21,A4='FNC-ORD_prospetto riassuntivo'!$B$21),1,0))</f>
        <v>0</v>
      </c>
      <c r="J4" s="84">
        <f>IF(J3=0,0,IF('FNC-ORD_prospetto riassuntivo'!$B$21+'FNC-ORD_prospetto riassuntivo'!$B$24&gt;J3,J3+1,0))</f>
        <v>2</v>
      </c>
      <c r="K4" s="85">
        <f>O3*'FNC-ORD_prospetto riassuntivo'!$B$26*Q4</f>
        <v>103.18536354374139</v>
      </c>
      <c r="L4" s="85">
        <f t="shared" si="1"/>
        <v>472.00680212705771</v>
      </c>
      <c r="M4" s="85">
        <f t="shared" ref="M4:M35" si="2">$M$3*Q4</f>
        <v>575.19216567079911</v>
      </c>
      <c r="N4" s="86">
        <f t="shared" ref="N4:N35" si="3">(L4+N3)*Q4</f>
        <v>943.03230113119014</v>
      </c>
      <c r="O4" s="85">
        <f>('FNC-ORD_prospetto riassuntivo'!$B$10-N4)*Q4</f>
        <v>49056.967698868808</v>
      </c>
      <c r="P4" s="85">
        <f>K4/(1+SUM('FNC-ORD_prospetto riassuntivo'!$B$27:$B$28)/'FNC-ORD_prospetto riassuntivo'!$B$22)^J4</f>
        <v>102.31214980051892</v>
      </c>
      <c r="Q4">
        <f>IF(J4=0,0,IF(OR(J4&lt;'FNC-ORD_prospetto riassuntivo'!$B$21+'FNC-ORD_prospetto riassuntivo'!$B$24,J4='FNC-ORD_prospetto riassuntivo'!$B$21+'FNC-ORD_prospetto riassuntivo'!$B$24),1,0))</f>
        <v>1</v>
      </c>
    </row>
    <row r="5" spans="1:17" x14ac:dyDescent="0.25">
      <c r="A5" s="84">
        <f>IF(A4=0,0,IF('FNC-ORD_prospetto riassuntivo'!$B$21&gt;A4,A4+1,0))</f>
        <v>0</v>
      </c>
      <c r="B5" s="85">
        <f>'FNC-ORD_prospetto riassuntivo'!$B$10*'FNC-ORD_prospetto riassuntivo'!$B$25*H5</f>
        <v>0</v>
      </c>
      <c r="C5" s="85">
        <v>0</v>
      </c>
      <c r="D5" s="85">
        <f t="shared" si="0"/>
        <v>0</v>
      </c>
      <c r="E5" s="85">
        <v>0</v>
      </c>
      <c r="F5" s="85">
        <f>'FNC-ORD_prospetto riassuntivo'!$B$10</f>
        <v>50000</v>
      </c>
      <c r="G5" s="85">
        <f>B5/((1+IFERROR(SUM('FNC-ORD_prospetto riassuntivo'!$B$27,'FNC-ORD_prospetto riassuntivo'!$B$28)/'FNC-ORD_prospetto riassuntivo'!$B$19,0))^A5)</f>
        <v>0</v>
      </c>
      <c r="H5">
        <f>IF(A5=0,0,IF(OR(A5&lt;'FNC-ORD_prospetto riassuntivo'!$B$21,A5='FNC-ORD_prospetto riassuntivo'!$B$21),1,0))</f>
        <v>0</v>
      </c>
      <c r="J5" s="84">
        <f>IF(J4=0,0,IF('FNC-ORD_prospetto riassuntivo'!$B$21+'FNC-ORD_prospetto riassuntivo'!$B$24&gt;J4,J4+1,0))</f>
        <v>3</v>
      </c>
      <c r="K5" s="85">
        <f>O4*'FNC-ORD_prospetto riassuntivo'!$B$26*Q5</f>
        <v>102.20201603931001</v>
      </c>
      <c r="L5" s="85">
        <f t="shared" si="1"/>
        <v>472.99014963148909</v>
      </c>
      <c r="M5" s="85">
        <f t="shared" si="2"/>
        <v>575.19216567079911</v>
      </c>
      <c r="N5" s="86">
        <f t="shared" si="3"/>
        <v>1416.0224507626792</v>
      </c>
      <c r="O5" s="85">
        <f>('FNC-ORD_prospetto riassuntivo'!$B$10-N5)*Q5</f>
        <v>48583.977549237323</v>
      </c>
      <c r="P5" s="85">
        <f>K5/(1+SUM('FNC-ORD_prospetto riassuntivo'!$B$27:$B$28)/'FNC-ORD_prospetto riassuntivo'!$B$22)^J5</f>
        <v>100.90742648901244</v>
      </c>
      <c r="Q5">
        <f>IF(J5=0,0,IF(OR(J5&lt;'FNC-ORD_prospetto riassuntivo'!$B$21+'FNC-ORD_prospetto riassuntivo'!$B$24,J5='FNC-ORD_prospetto riassuntivo'!$B$21+'FNC-ORD_prospetto riassuntivo'!$B$24),1,0))</f>
        <v>1</v>
      </c>
    </row>
    <row r="6" spans="1:17" x14ac:dyDescent="0.25">
      <c r="A6" s="84">
        <f>IF(A5=0,0,IF('FNC-ORD_prospetto riassuntivo'!$B$21&gt;A5,A5+1,0))</f>
        <v>0</v>
      </c>
      <c r="B6" s="85">
        <f>'FNC-ORD_prospetto riassuntivo'!$B$10*'FNC-ORD_prospetto riassuntivo'!$B$25*H6</f>
        <v>0</v>
      </c>
      <c r="C6" s="85">
        <v>0</v>
      </c>
      <c r="D6" s="85">
        <f t="shared" si="0"/>
        <v>0</v>
      </c>
      <c r="E6" s="85">
        <v>0</v>
      </c>
      <c r="F6" s="85">
        <f>'FNC-ORD_prospetto riassuntivo'!$B$10</f>
        <v>50000</v>
      </c>
      <c r="G6" s="85">
        <f>B6/((1+IFERROR(SUM('FNC-ORD_prospetto riassuntivo'!$B$27,'FNC-ORD_prospetto riassuntivo'!$B$28)/'FNC-ORD_prospetto riassuntivo'!$B$19,0))^A6)</f>
        <v>0</v>
      </c>
      <c r="H6">
        <f>IF(A6=0,0,IF(OR(A6&lt;'FNC-ORD_prospetto riassuntivo'!$B$21,A6='FNC-ORD_prospetto riassuntivo'!$B$21),1,0))</f>
        <v>0</v>
      </c>
      <c r="J6" s="84">
        <f>IF(J5=0,0,IF('FNC-ORD_prospetto riassuntivo'!$B$21+'FNC-ORD_prospetto riassuntivo'!$B$24&gt;J5,J5+1,0))</f>
        <v>4</v>
      </c>
      <c r="K6" s="85">
        <f>O5*'FNC-ORD_prospetto riassuntivo'!$B$26*Q6</f>
        <v>101.21661989424442</v>
      </c>
      <c r="L6" s="85">
        <f t="shared" si="1"/>
        <v>473.97554577655467</v>
      </c>
      <c r="M6" s="85">
        <f t="shared" si="2"/>
        <v>575.19216567079911</v>
      </c>
      <c r="N6" s="86">
        <f t="shared" si="3"/>
        <v>1889.997996539234</v>
      </c>
      <c r="O6" s="85">
        <f>('FNC-ORD_prospetto riassuntivo'!$B$10-N6)*Q6</f>
        <v>48110.002003460766</v>
      </c>
      <c r="P6" s="85">
        <f>K6/(1+SUM('FNC-ORD_prospetto riassuntivo'!$B$27:$B$28)/'FNC-ORD_prospetto riassuntivo'!$B$22)^J6</f>
        <v>99.510762328014565</v>
      </c>
      <c r="Q6">
        <f>IF(J6=0,0,IF(OR(J6&lt;'FNC-ORD_prospetto riassuntivo'!$B$21+'FNC-ORD_prospetto riassuntivo'!$B$24,J6='FNC-ORD_prospetto riassuntivo'!$B$21+'FNC-ORD_prospetto riassuntivo'!$B$24),1,0))</f>
        <v>1</v>
      </c>
    </row>
    <row r="7" spans="1:17" x14ac:dyDescent="0.25">
      <c r="A7" s="84">
        <f>IF(A6=0,0,IF('FNC-ORD_prospetto riassuntivo'!$B$21&gt;A6,A6+1,0))</f>
        <v>0</v>
      </c>
      <c r="B7" s="85">
        <f>'FNC-ORD_prospetto riassuntivo'!$B$10*'FNC-ORD_prospetto riassuntivo'!$B$25*H7</f>
        <v>0</v>
      </c>
      <c r="C7" s="85">
        <v>0</v>
      </c>
      <c r="D7" s="85">
        <f t="shared" si="0"/>
        <v>0</v>
      </c>
      <c r="E7" s="85">
        <v>0</v>
      </c>
      <c r="F7" s="85">
        <f>'FNC-ORD_prospetto riassuntivo'!$B$10</f>
        <v>50000</v>
      </c>
      <c r="G7" s="85">
        <f>B7/((1+IFERROR(SUM('FNC-ORD_prospetto riassuntivo'!$B$27,'FNC-ORD_prospetto riassuntivo'!$B$28)/'FNC-ORD_prospetto riassuntivo'!$B$19,0))^A7)</f>
        <v>0</v>
      </c>
      <c r="H7">
        <f>IF(A7=0,0,IF(OR(A7&lt;'FNC-ORD_prospetto riassuntivo'!$B$21,A7='FNC-ORD_prospetto riassuntivo'!$B$21),1,0))</f>
        <v>0</v>
      </c>
      <c r="J7" s="84">
        <f>IF(J6=0,0,IF('FNC-ORD_prospetto riassuntivo'!$B$21+'FNC-ORD_prospetto riassuntivo'!$B$24&gt;J6,J6+1,0))</f>
        <v>5</v>
      </c>
      <c r="K7" s="85">
        <f>O6*'FNC-ORD_prospetto riassuntivo'!$B$26*Q7</f>
        <v>100.22917084054326</v>
      </c>
      <c r="L7" s="85">
        <f t="shared" si="1"/>
        <v>474.96299483025587</v>
      </c>
      <c r="M7" s="85">
        <f t="shared" si="2"/>
        <v>575.19216567079911</v>
      </c>
      <c r="N7" s="86">
        <f t="shared" si="3"/>
        <v>2364.9609913694899</v>
      </c>
      <c r="O7" s="85">
        <f>('FNC-ORD_prospetto riassuntivo'!$B$10-N7)*Q7</f>
        <v>47635.039008630512</v>
      </c>
      <c r="P7" s="85">
        <f>K7/(1+SUM('FNC-ORD_prospetto riassuntivo'!$B$27:$B$28)/'FNC-ORD_prospetto riassuntivo'!$B$22)^J7</f>
        <v>98.122118590440635</v>
      </c>
      <c r="Q7">
        <f>IF(J7=0,0,IF(OR(J7&lt;'FNC-ORD_prospetto riassuntivo'!$B$21+'FNC-ORD_prospetto riassuntivo'!$B$24,J7='FNC-ORD_prospetto riassuntivo'!$B$21+'FNC-ORD_prospetto riassuntivo'!$B$24),1,0))</f>
        <v>1</v>
      </c>
    </row>
    <row r="8" spans="1:17" x14ac:dyDescent="0.25">
      <c r="A8" s="84">
        <f>IF(A7=0,0,IF('FNC-ORD_prospetto riassuntivo'!$B$21&gt;A7,A7+1,0))</f>
        <v>0</v>
      </c>
      <c r="B8" s="85">
        <f>'FNC-ORD_prospetto riassuntivo'!$B$10*'FNC-ORD_prospetto riassuntivo'!$B$25*H8</f>
        <v>0</v>
      </c>
      <c r="C8" s="85">
        <v>0</v>
      </c>
      <c r="D8" s="85">
        <f t="shared" si="0"/>
        <v>0</v>
      </c>
      <c r="E8" s="85">
        <v>0</v>
      </c>
      <c r="F8" s="85">
        <f>'FNC-ORD_prospetto riassuntivo'!$B$10</f>
        <v>50000</v>
      </c>
      <c r="G8" s="85">
        <f>B8/((1+IFERROR(SUM('FNC-ORD_prospetto riassuntivo'!$B$27,'FNC-ORD_prospetto riassuntivo'!$B$28)/'FNC-ORD_prospetto riassuntivo'!$B$19,0))^A8)</f>
        <v>0</v>
      </c>
      <c r="H8">
        <f>IF(A8=0,0,IF(OR(A8&lt;'FNC-ORD_prospetto riassuntivo'!$B$21,A8='FNC-ORD_prospetto riassuntivo'!$B$21),1,0))</f>
        <v>0</v>
      </c>
      <c r="J8" s="84">
        <f>IF(J7=0,0,IF('FNC-ORD_prospetto riassuntivo'!$B$21+'FNC-ORD_prospetto riassuntivo'!$B$24&gt;J7,J7+1,0))</f>
        <v>6</v>
      </c>
      <c r="K8" s="85">
        <f>O7*'FNC-ORD_prospetto riassuntivo'!$B$26*Q8</f>
        <v>99.239664601313564</v>
      </c>
      <c r="L8" s="85">
        <f t="shared" si="1"/>
        <v>475.95250106948555</v>
      </c>
      <c r="M8" s="85">
        <f t="shared" si="2"/>
        <v>575.19216567079911</v>
      </c>
      <c r="N8" s="86">
        <f t="shared" si="3"/>
        <v>2840.9134924389755</v>
      </c>
      <c r="O8" s="85">
        <f>('FNC-ORD_prospetto riassuntivo'!$B$10-N8)*Q8</f>
        <v>47159.086507561027</v>
      </c>
      <c r="P8" s="85">
        <f>K8/(1+SUM('FNC-ORD_prospetto riassuntivo'!$B$27:$B$28)/'FNC-ORD_prospetto riassuntivo'!$B$22)^J8</f>
        <v>96.741456723282681</v>
      </c>
      <c r="Q8">
        <f>IF(J8=0,0,IF(OR(J8&lt;'FNC-ORD_prospetto riassuntivo'!$B$21+'FNC-ORD_prospetto riassuntivo'!$B$24,J8='FNC-ORD_prospetto riassuntivo'!$B$21+'FNC-ORD_prospetto riassuntivo'!$B$24),1,0))</f>
        <v>1</v>
      </c>
    </row>
    <row r="9" spans="1:17" x14ac:dyDescent="0.25">
      <c r="A9" s="84">
        <f>IF(A8=0,0,IF('FNC-ORD_prospetto riassuntivo'!$B$21&gt;A8,A8+1,0))</f>
        <v>0</v>
      </c>
      <c r="B9" s="85">
        <f>'FNC-ORD_prospetto riassuntivo'!$B$10*'FNC-ORD_prospetto riassuntivo'!$B$25*H9</f>
        <v>0</v>
      </c>
      <c r="C9" s="85">
        <v>0</v>
      </c>
      <c r="D9" s="85">
        <f t="shared" si="0"/>
        <v>0</v>
      </c>
      <c r="E9" s="85">
        <v>0</v>
      </c>
      <c r="F9" s="85">
        <f>'FNC-ORD_prospetto riassuntivo'!$B$10</f>
        <v>50000</v>
      </c>
      <c r="G9" s="85">
        <f>B9/((1+IFERROR(SUM('FNC-ORD_prospetto riassuntivo'!$B$27,'FNC-ORD_prospetto riassuntivo'!$B$28)/'FNC-ORD_prospetto riassuntivo'!$B$19,0))^A9)</f>
        <v>0</v>
      </c>
      <c r="H9">
        <f>IF(A9=0,0,IF(OR(A9&lt;'FNC-ORD_prospetto riassuntivo'!$B$21,A9='FNC-ORD_prospetto riassuntivo'!$B$21),1,0))</f>
        <v>0</v>
      </c>
      <c r="J9" s="84">
        <f>IF(J8=0,0,IF('FNC-ORD_prospetto riassuntivo'!$B$21+'FNC-ORD_prospetto riassuntivo'!$B$24&gt;J8,J8+1,0))</f>
        <v>7</v>
      </c>
      <c r="K9" s="85">
        <f>O8*'FNC-ORD_prospetto riassuntivo'!$B$26*Q9</f>
        <v>98.248096890752137</v>
      </c>
      <c r="L9" s="85">
        <f t="shared" si="1"/>
        <v>476.94406878004696</v>
      </c>
      <c r="M9" s="85">
        <f t="shared" si="2"/>
        <v>575.19216567079911</v>
      </c>
      <c r="N9" s="86">
        <f t="shared" si="3"/>
        <v>3317.8575612190225</v>
      </c>
      <c r="O9" s="85">
        <f>('FNC-ORD_prospetto riassuntivo'!$B$10-N9)*Q9</f>
        <v>46682.142438780975</v>
      </c>
      <c r="P9" s="85">
        <f>K9/(1+SUM('FNC-ORD_prospetto riassuntivo'!$B$27:$B$28)/'FNC-ORD_prospetto riassuntivo'!$B$22)^J9</f>
        <v>95.368738346849838</v>
      </c>
      <c r="Q9">
        <f>IF(J9=0,0,IF(OR(J9&lt;'FNC-ORD_prospetto riassuntivo'!$B$21+'FNC-ORD_prospetto riassuntivo'!$B$24,J9='FNC-ORD_prospetto riassuntivo'!$B$21+'FNC-ORD_prospetto riassuntivo'!$B$24),1,0))</f>
        <v>1</v>
      </c>
    </row>
    <row r="10" spans="1:17" x14ac:dyDescent="0.25">
      <c r="A10" s="84">
        <f>IF(A9=0,0,IF('FNC-ORD_prospetto riassuntivo'!$B$21&gt;A9,A9+1,0))</f>
        <v>0</v>
      </c>
      <c r="B10" s="85">
        <f>'FNC-ORD_prospetto riassuntivo'!$B$10*'FNC-ORD_prospetto riassuntivo'!$B$25*H10</f>
        <v>0</v>
      </c>
      <c r="C10" s="85">
        <v>0</v>
      </c>
      <c r="D10" s="85">
        <f t="shared" si="0"/>
        <v>0</v>
      </c>
      <c r="E10" s="85">
        <v>0</v>
      </c>
      <c r="F10" s="85">
        <f>'FNC-ORD_prospetto riassuntivo'!$B$10</f>
        <v>50000</v>
      </c>
      <c r="G10" s="85">
        <f>B10/((1+IFERROR(SUM('FNC-ORD_prospetto riassuntivo'!$B$27,'FNC-ORD_prospetto riassuntivo'!$B$28)/'FNC-ORD_prospetto riassuntivo'!$B$19,0))^A10)</f>
        <v>0</v>
      </c>
      <c r="H10">
        <f>IF(A10=0,0,IF(OR(A10&lt;'FNC-ORD_prospetto riassuntivo'!$B$21,A10='FNC-ORD_prospetto riassuntivo'!$B$21),1,0))</f>
        <v>0</v>
      </c>
      <c r="J10" s="84">
        <f>IF(J9=0,0,IF('FNC-ORD_prospetto riassuntivo'!$B$21+'FNC-ORD_prospetto riassuntivo'!$B$24&gt;J9,J9+1,0))</f>
        <v>8</v>
      </c>
      <c r="K10" s="85">
        <f>O9*'FNC-ORD_prospetto riassuntivo'!$B$26*Q10</f>
        <v>97.254463414127031</v>
      </c>
      <c r="L10" s="85">
        <f t="shared" si="1"/>
        <v>477.93770225667208</v>
      </c>
      <c r="M10" s="85">
        <f t="shared" si="2"/>
        <v>575.19216567079911</v>
      </c>
      <c r="N10" s="86">
        <f t="shared" si="3"/>
        <v>3795.7952634756948</v>
      </c>
      <c r="O10" s="85">
        <f>('FNC-ORD_prospetto riassuntivo'!$B$10-N10)*Q10</f>
        <v>46204.204736524305</v>
      </c>
      <c r="P10" s="85">
        <f>K10/(1+SUM('FNC-ORD_prospetto riassuntivo'!$B$27:$B$28)/'FNC-ORD_prospetto riassuntivo'!$B$22)^J10</f>
        <v>94.003925254012131</v>
      </c>
      <c r="Q10">
        <f>IF(J10=0,0,IF(OR(J10&lt;'FNC-ORD_prospetto riassuntivo'!$B$21+'FNC-ORD_prospetto riassuntivo'!$B$24,J10='FNC-ORD_prospetto riassuntivo'!$B$21+'FNC-ORD_prospetto riassuntivo'!$B$24),1,0))</f>
        <v>1</v>
      </c>
    </row>
    <row r="11" spans="1:17" x14ac:dyDescent="0.25">
      <c r="A11" s="84">
        <f>IF(A10=0,0,IF('FNC-ORD_prospetto riassuntivo'!$B$21&gt;A10,A10+1,0))</f>
        <v>0</v>
      </c>
      <c r="B11" s="85">
        <f>'FNC-ORD_prospetto riassuntivo'!$B$10*'FNC-ORD_prospetto riassuntivo'!$B$25*H11</f>
        <v>0</v>
      </c>
      <c r="C11" s="85">
        <v>0</v>
      </c>
      <c r="D11" s="85">
        <f t="shared" si="0"/>
        <v>0</v>
      </c>
      <c r="E11" s="85">
        <v>0</v>
      </c>
      <c r="F11" s="85">
        <f>'FNC-ORD_prospetto riassuntivo'!$B$10</f>
        <v>50000</v>
      </c>
      <c r="G11" s="85">
        <f>B11/((1+IFERROR(SUM('FNC-ORD_prospetto riassuntivo'!$B$27,'FNC-ORD_prospetto riassuntivo'!$B$28)/'FNC-ORD_prospetto riassuntivo'!$B$19,0))^A11)</f>
        <v>0</v>
      </c>
      <c r="H11">
        <f>IF(A11=0,0,IF(OR(A11&lt;'FNC-ORD_prospetto riassuntivo'!$B$21,A11='FNC-ORD_prospetto riassuntivo'!$B$21),1,0))</f>
        <v>0</v>
      </c>
      <c r="J11" s="84">
        <f>IF(J10=0,0,IF('FNC-ORD_prospetto riassuntivo'!$B$21+'FNC-ORD_prospetto riassuntivo'!$B$24&gt;J10,J10+1,0))</f>
        <v>9</v>
      </c>
      <c r="K11" s="85">
        <f>O10*'FNC-ORD_prospetto riassuntivo'!$B$26*Q11</f>
        <v>96.258759867758968</v>
      </c>
      <c r="L11" s="85">
        <f t="shared" si="1"/>
        <v>478.93340580304016</v>
      </c>
      <c r="M11" s="85">
        <f t="shared" si="2"/>
        <v>575.19216567079911</v>
      </c>
      <c r="N11" s="86">
        <f t="shared" si="3"/>
        <v>4274.7286692787347</v>
      </c>
      <c r="O11" s="85">
        <f>('FNC-ORD_prospetto riassuntivo'!$B$10-N11)*Q11</f>
        <v>45725.271330721269</v>
      </c>
      <c r="P11" s="85">
        <f>K11/(1+SUM('FNC-ORD_prospetto riassuntivo'!$B$27:$B$28)/'FNC-ORD_prospetto riassuntivo'!$B$22)^J11</f>
        <v>92.646979409447582</v>
      </c>
      <c r="Q11">
        <f>IF(J11=0,0,IF(OR(J11&lt;'FNC-ORD_prospetto riassuntivo'!$B$21+'FNC-ORD_prospetto riassuntivo'!$B$24,J11='FNC-ORD_prospetto riassuntivo'!$B$21+'FNC-ORD_prospetto riassuntivo'!$B$24),1,0))</f>
        <v>1</v>
      </c>
    </row>
    <row r="12" spans="1:17" x14ac:dyDescent="0.25">
      <c r="A12" s="84">
        <f>IF(A11=0,0,IF('FNC-ORD_prospetto riassuntivo'!$B$21&gt;A11,A11+1,0))</f>
        <v>0</v>
      </c>
      <c r="B12" s="85">
        <f>'FNC-ORD_prospetto riassuntivo'!$B$10*'FNC-ORD_prospetto riassuntivo'!$B$25*H12</f>
        <v>0</v>
      </c>
      <c r="C12" s="85">
        <v>0</v>
      </c>
      <c r="D12" s="85">
        <f t="shared" si="0"/>
        <v>0</v>
      </c>
      <c r="E12" s="85">
        <v>0</v>
      </c>
      <c r="F12" s="85">
        <f>'FNC-ORD_prospetto riassuntivo'!$B$10</f>
        <v>50000</v>
      </c>
      <c r="G12" s="85">
        <f>B12/((1+IFERROR(SUM('FNC-ORD_prospetto riassuntivo'!$B$27,'FNC-ORD_prospetto riassuntivo'!$B$28)/'FNC-ORD_prospetto riassuntivo'!$B$19,0))^A12)</f>
        <v>0</v>
      </c>
      <c r="H12">
        <f>IF(A12=0,0,IF(OR(A12&lt;'FNC-ORD_prospetto riassuntivo'!$B$21,A12='FNC-ORD_prospetto riassuntivo'!$B$21),1,0))</f>
        <v>0</v>
      </c>
      <c r="J12" s="84">
        <f>IF(J11=0,0,IF('FNC-ORD_prospetto riassuntivo'!$B$21+'FNC-ORD_prospetto riassuntivo'!$B$24&gt;J11,J11+1,0))</f>
        <v>10</v>
      </c>
      <c r="K12" s="85">
        <f>O11*'FNC-ORD_prospetto riassuntivo'!$B$26*Q12</f>
        <v>95.260981939002647</v>
      </c>
      <c r="L12" s="85">
        <f t="shared" si="1"/>
        <v>479.93118373179647</v>
      </c>
      <c r="M12" s="85">
        <f t="shared" si="2"/>
        <v>575.19216567079911</v>
      </c>
      <c r="N12" s="86">
        <f t="shared" si="3"/>
        <v>4754.6598530105312</v>
      </c>
      <c r="O12" s="85">
        <f>('FNC-ORD_prospetto riassuntivo'!$B$10-N12)*Q12</f>
        <v>45245.340146989467</v>
      </c>
      <c r="P12" s="85">
        <f>K12/(1+SUM('FNC-ORD_prospetto riassuntivo'!$B$27:$B$28)/'FNC-ORD_prospetto riassuntivo'!$B$22)^J12</f>
        <v>91.29786294889233</v>
      </c>
      <c r="Q12">
        <f>IF(J12=0,0,IF(OR(J12&lt;'FNC-ORD_prospetto riassuntivo'!$B$21+'FNC-ORD_prospetto riassuntivo'!$B$24,J12='FNC-ORD_prospetto riassuntivo'!$B$21+'FNC-ORD_prospetto riassuntivo'!$B$24),1,0))</f>
        <v>1</v>
      </c>
    </row>
    <row r="13" spans="1:17" x14ac:dyDescent="0.25">
      <c r="A13" s="84">
        <f>IF(A12=0,0,IF('FNC-ORD_prospetto riassuntivo'!$B$21&gt;A12,A12+1,0))</f>
        <v>0</v>
      </c>
      <c r="B13" s="85">
        <f>'FNC-ORD_prospetto riassuntivo'!$B$10*'FNC-ORD_prospetto riassuntivo'!$B$25*H13</f>
        <v>0</v>
      </c>
      <c r="C13" s="85">
        <v>0</v>
      </c>
      <c r="D13" s="85">
        <f t="shared" si="0"/>
        <v>0</v>
      </c>
      <c r="E13" s="85">
        <v>0</v>
      </c>
      <c r="F13" s="85">
        <f>'FNC-ORD_prospetto riassuntivo'!$B$10</f>
        <v>50000</v>
      </c>
      <c r="G13" s="85">
        <f>B13/((1+IFERROR(SUM('FNC-ORD_prospetto riassuntivo'!$B$27,'FNC-ORD_prospetto riassuntivo'!$B$28)/'FNC-ORD_prospetto riassuntivo'!$B$19,0))^A13)</f>
        <v>0</v>
      </c>
      <c r="H13">
        <f>IF(A13=0,0,IF(OR(A13&lt;'FNC-ORD_prospetto riassuntivo'!$B$21,A13='FNC-ORD_prospetto riassuntivo'!$B$21),1,0))</f>
        <v>0</v>
      </c>
      <c r="J13" s="84">
        <f>IF(J12=0,0,IF('FNC-ORD_prospetto riassuntivo'!$B$21+'FNC-ORD_prospetto riassuntivo'!$B$24&gt;J12,J12+1,0))</f>
        <v>11</v>
      </c>
      <c r="K13" s="85">
        <f>O12*'FNC-ORD_prospetto riassuntivo'!$B$26*Q13</f>
        <v>94.261125306228053</v>
      </c>
      <c r="L13" s="85">
        <f t="shared" si="1"/>
        <v>480.93104036457106</v>
      </c>
      <c r="M13" s="85">
        <f t="shared" si="2"/>
        <v>575.19216567079911</v>
      </c>
      <c r="N13" s="86">
        <f t="shared" si="3"/>
        <v>5235.5908933751025</v>
      </c>
      <c r="O13" s="85">
        <f>('FNC-ORD_prospetto riassuntivo'!$B$10-N13)*Q13</f>
        <v>44764.409106624895</v>
      </c>
      <c r="P13" s="85">
        <f>K13/(1+SUM('FNC-ORD_prospetto riassuntivo'!$B$27:$B$28)/'FNC-ORD_prospetto riassuntivo'!$B$22)^J13</f>
        <v>89.956538178394226</v>
      </c>
      <c r="Q13">
        <f>IF(J13=0,0,IF(OR(J13&lt;'FNC-ORD_prospetto riassuntivo'!$B$21+'FNC-ORD_prospetto riassuntivo'!$B$24,J13='FNC-ORD_prospetto riassuntivo'!$B$21+'FNC-ORD_prospetto riassuntivo'!$B$24),1,0))</f>
        <v>1</v>
      </c>
    </row>
    <row r="14" spans="1:17" x14ac:dyDescent="0.25">
      <c r="A14" s="84">
        <f>IF(A13=0,0,IF('FNC-ORD_prospetto riassuntivo'!$B$21&gt;A13,A13+1,0))</f>
        <v>0</v>
      </c>
      <c r="B14" s="85">
        <f>'FNC-ORD_prospetto riassuntivo'!$B$10*'FNC-ORD_prospetto riassuntivo'!$B$25*H14</f>
        <v>0</v>
      </c>
      <c r="C14" s="85">
        <v>0</v>
      </c>
      <c r="D14" s="85">
        <f t="shared" si="0"/>
        <v>0</v>
      </c>
      <c r="E14" s="85">
        <v>0</v>
      </c>
      <c r="F14" s="85">
        <f>'FNC-ORD_prospetto riassuntivo'!$B$10</f>
        <v>50000</v>
      </c>
      <c r="G14" s="85">
        <f>B14/((1+IFERROR(SUM('FNC-ORD_prospetto riassuntivo'!$B$27,'FNC-ORD_prospetto riassuntivo'!$B$28)/'FNC-ORD_prospetto riassuntivo'!$B$19,0))^A14)</f>
        <v>0</v>
      </c>
      <c r="H14">
        <f>IF(A14=0,0,IF(OR(A14&lt;'FNC-ORD_prospetto riassuntivo'!$B$21,A14='FNC-ORD_prospetto riassuntivo'!$B$21),1,0))</f>
        <v>0</v>
      </c>
      <c r="J14" s="84">
        <f>IF(J13=0,0,IF('FNC-ORD_prospetto riassuntivo'!$B$21+'FNC-ORD_prospetto riassuntivo'!$B$24&gt;J13,J13+1,0))</f>
        <v>12</v>
      </c>
      <c r="K14" s="85">
        <f>O13*'FNC-ORD_prospetto riassuntivo'!$B$26*Q14</f>
        <v>93.259185638801867</v>
      </c>
      <c r="L14" s="85">
        <f t="shared" si="1"/>
        <v>481.93298003199726</v>
      </c>
      <c r="M14" s="85">
        <f t="shared" si="2"/>
        <v>575.19216567079911</v>
      </c>
      <c r="N14" s="86">
        <f t="shared" si="3"/>
        <v>5717.5238734070999</v>
      </c>
      <c r="O14" s="85">
        <f>('FNC-ORD_prospetto riassuntivo'!$B$10-N14)*Q14</f>
        <v>44282.476126592897</v>
      </c>
      <c r="P14" s="85">
        <f>K14/(1+SUM('FNC-ORD_prospetto riassuntivo'!$B$27:$B$28)/'FNC-ORD_prospetto riassuntivo'!$B$22)^J14</f>
        <v>88.622967573569554</v>
      </c>
      <c r="Q14">
        <f>IF(J14=0,0,IF(OR(J14&lt;'FNC-ORD_prospetto riassuntivo'!$B$21+'FNC-ORD_prospetto riassuntivo'!$B$24,J14='FNC-ORD_prospetto riassuntivo'!$B$21+'FNC-ORD_prospetto riassuntivo'!$B$24),1,0))</f>
        <v>1</v>
      </c>
    </row>
    <row r="15" spans="1:17" x14ac:dyDescent="0.25">
      <c r="A15" s="84">
        <f>IF(A14=0,0,IF('FNC-ORD_prospetto riassuntivo'!$B$21&gt;A14,A14+1,0))</f>
        <v>0</v>
      </c>
      <c r="B15" s="85">
        <f>'FNC-ORD_prospetto riassuntivo'!$B$10*'FNC-ORD_prospetto riassuntivo'!$B$25*H15</f>
        <v>0</v>
      </c>
      <c r="C15" s="85">
        <v>0</v>
      </c>
      <c r="D15" s="85">
        <f t="shared" si="0"/>
        <v>0</v>
      </c>
      <c r="E15" s="85">
        <v>0</v>
      </c>
      <c r="F15" s="85">
        <f>'FNC-ORD_prospetto riassuntivo'!$B$10</f>
        <v>50000</v>
      </c>
      <c r="G15" s="85">
        <f>B15/((1+IFERROR(SUM('FNC-ORD_prospetto riassuntivo'!$B$27,'FNC-ORD_prospetto riassuntivo'!$B$28)/'FNC-ORD_prospetto riassuntivo'!$B$19,0))^A15)</f>
        <v>0</v>
      </c>
      <c r="H15">
        <f>IF(A15=0,0,IF(OR(A15&lt;'FNC-ORD_prospetto riassuntivo'!$B$21,A15='FNC-ORD_prospetto riassuntivo'!$B$21),1,0))</f>
        <v>0</v>
      </c>
      <c r="J15" s="84">
        <f>IF(J14=0,0,IF('FNC-ORD_prospetto riassuntivo'!$B$21+'FNC-ORD_prospetto riassuntivo'!$B$24&gt;J14,J14+1,0))</f>
        <v>13</v>
      </c>
      <c r="K15" s="85">
        <f>O14*'FNC-ORD_prospetto riassuntivo'!$B$26*Q15</f>
        <v>92.25515859706853</v>
      </c>
      <c r="L15" s="85">
        <f t="shared" si="1"/>
        <v>482.93700707373057</v>
      </c>
      <c r="M15" s="85">
        <f t="shared" si="2"/>
        <v>575.19216567079911</v>
      </c>
      <c r="N15" s="86">
        <f t="shared" si="3"/>
        <v>6200.4608804808304</v>
      </c>
      <c r="O15" s="85">
        <f>('FNC-ORD_prospetto riassuntivo'!$B$10-N15)*Q15</f>
        <v>43799.53911951917</v>
      </c>
      <c r="P15" s="85">
        <f>K15/(1+SUM('FNC-ORD_prospetto riassuntivo'!$B$27:$B$28)/'FNC-ORD_prospetto riassuntivo'!$B$22)^J15</f>
        <v>87.297113778862823</v>
      </c>
      <c r="Q15">
        <f>IF(J15=0,0,IF(OR(J15&lt;'FNC-ORD_prospetto riassuntivo'!$B$21+'FNC-ORD_prospetto riassuntivo'!$B$24,J15='FNC-ORD_prospetto riassuntivo'!$B$21+'FNC-ORD_prospetto riassuntivo'!$B$24),1,0))</f>
        <v>1</v>
      </c>
    </row>
    <row r="16" spans="1:17" x14ac:dyDescent="0.25">
      <c r="A16" s="84">
        <f>IF(A15=0,0,IF('FNC-ORD_prospetto riassuntivo'!$B$21&gt;A15,A15+1,0))</f>
        <v>0</v>
      </c>
      <c r="B16" s="85">
        <f>'FNC-ORD_prospetto riassuntivo'!$B$10*'FNC-ORD_prospetto riassuntivo'!$B$25*H16</f>
        <v>0</v>
      </c>
      <c r="C16" s="85">
        <v>0</v>
      </c>
      <c r="D16" s="85">
        <f t="shared" si="0"/>
        <v>0</v>
      </c>
      <c r="E16" s="85">
        <v>0</v>
      </c>
      <c r="F16" s="85">
        <f>'FNC-ORD_prospetto riassuntivo'!$B$10</f>
        <v>50000</v>
      </c>
      <c r="G16" s="85">
        <f>B16/((1+IFERROR(SUM('FNC-ORD_prospetto riassuntivo'!$B$27,'FNC-ORD_prospetto riassuntivo'!$B$28)/'FNC-ORD_prospetto riassuntivo'!$B$19,0))^A16)</f>
        <v>0</v>
      </c>
      <c r="H16">
        <f>IF(A16=0,0,IF(OR(A16&lt;'FNC-ORD_prospetto riassuntivo'!$B$21,A16='FNC-ORD_prospetto riassuntivo'!$B$21),1,0))</f>
        <v>0</v>
      </c>
      <c r="J16" s="84">
        <f>IF(J15=0,0,IF('FNC-ORD_prospetto riassuntivo'!$B$21+'FNC-ORD_prospetto riassuntivo'!$B$24&gt;J15,J15+1,0))</f>
        <v>14</v>
      </c>
      <c r="K16" s="85">
        <f>O15*'FNC-ORD_prospetto riassuntivo'!$B$26*Q16</f>
        <v>91.249039832331604</v>
      </c>
      <c r="L16" s="85">
        <f t="shared" si="1"/>
        <v>483.94312583846749</v>
      </c>
      <c r="M16" s="85">
        <f t="shared" si="2"/>
        <v>575.19216567079911</v>
      </c>
      <c r="N16" s="86">
        <f t="shared" si="3"/>
        <v>6684.4040063192979</v>
      </c>
      <c r="O16" s="85">
        <f>('FNC-ORD_prospetto riassuntivo'!$B$10-N16)*Q16</f>
        <v>43315.595993680705</v>
      </c>
      <c r="P16" s="85">
        <f>K16/(1+SUM('FNC-ORD_prospetto riassuntivo'!$B$27:$B$28)/'FNC-ORD_prospetto riassuntivo'!$B$22)^J16</f>
        <v>85.978939606809988</v>
      </c>
      <c r="Q16">
        <f>IF(J16=0,0,IF(OR(J16&lt;'FNC-ORD_prospetto riassuntivo'!$B$21+'FNC-ORD_prospetto riassuntivo'!$B$24,J16='FNC-ORD_prospetto riassuntivo'!$B$21+'FNC-ORD_prospetto riassuntivo'!$B$24),1,0))</f>
        <v>1</v>
      </c>
    </row>
    <row r="17" spans="1:17" x14ac:dyDescent="0.25">
      <c r="A17" s="84">
        <f>IF(A16=0,0,IF('FNC-ORD_prospetto riassuntivo'!$B$21&gt;A16,A16+1,0))</f>
        <v>0</v>
      </c>
      <c r="B17" s="85">
        <f>'FNC-ORD_prospetto riassuntivo'!$B$10*'FNC-ORD_prospetto riassuntivo'!$B$25*H17</f>
        <v>0</v>
      </c>
      <c r="C17" s="85">
        <v>0</v>
      </c>
      <c r="D17" s="85">
        <f t="shared" si="0"/>
        <v>0</v>
      </c>
      <c r="E17" s="85">
        <v>0</v>
      </c>
      <c r="F17" s="85">
        <f>'FNC-ORD_prospetto riassuntivo'!$B$10</f>
        <v>50000</v>
      </c>
      <c r="G17" s="85">
        <f>B17/((1+IFERROR(SUM('FNC-ORD_prospetto riassuntivo'!$B$27,'FNC-ORD_prospetto riassuntivo'!$B$28)/'FNC-ORD_prospetto riassuntivo'!$B$19,0))^A17)</f>
        <v>0</v>
      </c>
      <c r="H17">
        <f>IF(A17=0,0,IF(OR(A17&lt;'FNC-ORD_prospetto riassuntivo'!$B$21,A17='FNC-ORD_prospetto riassuntivo'!$B$21),1,0))</f>
        <v>0</v>
      </c>
      <c r="J17" s="84">
        <f>IF(J16=0,0,IF('FNC-ORD_prospetto riassuntivo'!$B$21+'FNC-ORD_prospetto riassuntivo'!$B$24&gt;J16,J16+1,0))</f>
        <v>15</v>
      </c>
      <c r="K17" s="85">
        <f>O16*'FNC-ORD_prospetto riassuntivo'!$B$26*Q17</f>
        <v>90.240824986834795</v>
      </c>
      <c r="L17" s="85">
        <f t="shared" si="1"/>
        <v>484.9513406839643</v>
      </c>
      <c r="M17" s="85">
        <f t="shared" si="2"/>
        <v>575.19216567079911</v>
      </c>
      <c r="N17" s="86">
        <f t="shared" si="3"/>
        <v>7169.3553470032621</v>
      </c>
      <c r="O17" s="85">
        <f>('FNC-ORD_prospetto riassuntivo'!$B$10-N17)*Q17</f>
        <v>42830.644652996736</v>
      </c>
      <c r="P17" s="85">
        <f>K17/(1+SUM('FNC-ORD_prospetto riassuntivo'!$B$27:$B$28)/'FNC-ORD_prospetto riassuntivo'!$B$22)^J17</f>
        <v>84.66840803730453</v>
      </c>
      <c r="Q17">
        <f>IF(J17=0,0,IF(OR(J17&lt;'FNC-ORD_prospetto riassuntivo'!$B$21+'FNC-ORD_prospetto riassuntivo'!$B$24,J17='FNC-ORD_prospetto riassuntivo'!$B$21+'FNC-ORD_prospetto riassuntivo'!$B$24),1,0))</f>
        <v>1</v>
      </c>
    </row>
    <row r="18" spans="1:17" x14ac:dyDescent="0.25">
      <c r="A18" s="84">
        <f>IF(A17=0,0,IF('FNC-ORD_prospetto riassuntivo'!$B$21&gt;A17,A17+1,0))</f>
        <v>0</v>
      </c>
      <c r="B18" s="85">
        <f>'FNC-ORD_prospetto riassuntivo'!$B$10*'FNC-ORD_prospetto riassuntivo'!$B$25*H18</f>
        <v>0</v>
      </c>
      <c r="C18" s="85">
        <v>0</v>
      </c>
      <c r="D18" s="85">
        <f t="shared" si="0"/>
        <v>0</v>
      </c>
      <c r="E18" s="85">
        <v>0</v>
      </c>
      <c r="F18" s="85">
        <f>'FNC-ORD_prospetto riassuntivo'!$B$10</f>
        <v>50000</v>
      </c>
      <c r="G18" s="85">
        <f>B18/((1+IFERROR(SUM('FNC-ORD_prospetto riassuntivo'!$B$27,'FNC-ORD_prospetto riassuntivo'!$B$28)/'FNC-ORD_prospetto riassuntivo'!$B$19,0))^A18)</f>
        <v>0</v>
      </c>
      <c r="H18">
        <f>IF(A18=0,0,IF(OR(A18&lt;'FNC-ORD_prospetto riassuntivo'!$B$21,A18='FNC-ORD_prospetto riassuntivo'!$B$21),1,0))</f>
        <v>0</v>
      </c>
      <c r="J18" s="84">
        <f>IF(J17=0,0,IF('FNC-ORD_prospetto riassuntivo'!$B$21+'FNC-ORD_prospetto riassuntivo'!$B$24&gt;J17,J17+1,0))</f>
        <v>16</v>
      </c>
      <c r="K18" s="85">
        <f>O17*'FNC-ORD_prospetto riassuntivo'!$B$26*Q18</f>
        <v>89.230509693743201</v>
      </c>
      <c r="L18" s="85">
        <f t="shared" si="1"/>
        <v>485.9616559770559</v>
      </c>
      <c r="M18" s="85">
        <f t="shared" si="2"/>
        <v>575.19216567079911</v>
      </c>
      <c r="N18" s="86">
        <f t="shared" si="3"/>
        <v>7655.3170029803177</v>
      </c>
      <c r="O18" s="85">
        <f>('FNC-ORD_prospetto riassuntivo'!$B$10-N18)*Q18</f>
        <v>42344.682997019685</v>
      </c>
      <c r="P18" s="85">
        <f>K18/(1+SUM('FNC-ORD_prospetto riassuntivo'!$B$27:$B$28)/'FNC-ORD_prospetto riassuntivo'!$B$22)^J18</f>
        <v>83.365482216866951</v>
      </c>
      <c r="Q18">
        <f>IF(J18=0,0,IF(OR(J18&lt;'FNC-ORD_prospetto riassuntivo'!$B$21+'FNC-ORD_prospetto riassuntivo'!$B$24,J18='FNC-ORD_prospetto riassuntivo'!$B$21+'FNC-ORD_prospetto riassuntivo'!$B$24),1,0))</f>
        <v>1</v>
      </c>
    </row>
    <row r="19" spans="1:17" x14ac:dyDescent="0.25">
      <c r="A19" s="84">
        <f>IF(A18=0,0,IF('FNC-ORD_prospetto riassuntivo'!$B$21&gt;A18,A18+1,0))</f>
        <v>0</v>
      </c>
      <c r="B19" s="85">
        <f>'FNC-ORD_prospetto riassuntivo'!$B$10*'FNC-ORD_prospetto riassuntivo'!$B$25*H19</f>
        <v>0</v>
      </c>
      <c r="C19" s="85">
        <v>0</v>
      </c>
      <c r="D19" s="85">
        <f t="shared" si="0"/>
        <v>0</v>
      </c>
      <c r="E19" s="85">
        <v>0</v>
      </c>
      <c r="F19" s="85">
        <f>'FNC-ORD_prospetto riassuntivo'!$B$10</f>
        <v>50000</v>
      </c>
      <c r="G19" s="85">
        <f>B19/((1+IFERROR(SUM('FNC-ORD_prospetto riassuntivo'!$B$27,'FNC-ORD_prospetto riassuntivo'!$B$28)/'FNC-ORD_prospetto riassuntivo'!$B$19,0))^A19)</f>
        <v>0</v>
      </c>
      <c r="H19">
        <f>IF(A19=0,0,IF(OR(A19&lt;'FNC-ORD_prospetto riassuntivo'!$B$21,A19='FNC-ORD_prospetto riassuntivo'!$B$21),1,0))</f>
        <v>0</v>
      </c>
      <c r="J19" s="84">
        <f>IF(J18=0,0,IF('FNC-ORD_prospetto riassuntivo'!$B$21+'FNC-ORD_prospetto riassuntivo'!$B$24&gt;J18,J18+1,0))</f>
        <v>17</v>
      </c>
      <c r="K19" s="85">
        <f>O18*'FNC-ORD_prospetto riassuntivo'!$B$26*Q19</f>
        <v>88.218089577124346</v>
      </c>
      <c r="L19" s="85">
        <f t="shared" si="1"/>
        <v>486.97407609367474</v>
      </c>
      <c r="M19" s="85">
        <f t="shared" si="2"/>
        <v>575.19216567079911</v>
      </c>
      <c r="N19" s="86">
        <f t="shared" si="3"/>
        <v>8142.2910790739925</v>
      </c>
      <c r="O19" s="85">
        <f>('FNC-ORD_prospetto riassuntivo'!$B$10-N19)*Q19</f>
        <v>41857.708920926008</v>
      </c>
      <c r="P19" s="85">
        <f>K19/(1+SUM('FNC-ORD_prospetto riassuntivo'!$B$27:$B$28)/'FNC-ORD_prospetto riassuntivo'!$B$22)^J19</f>
        <v>82.070125457917456</v>
      </c>
      <c r="Q19">
        <f>IF(J19=0,0,IF(OR(J19&lt;'FNC-ORD_prospetto riassuntivo'!$B$21+'FNC-ORD_prospetto riassuntivo'!$B$24,J19='FNC-ORD_prospetto riassuntivo'!$B$21+'FNC-ORD_prospetto riassuntivo'!$B$24),1,0))</f>
        <v>1</v>
      </c>
    </row>
    <row r="20" spans="1:17" x14ac:dyDescent="0.25">
      <c r="A20" s="84">
        <f>IF(A19=0,0,IF('FNC-ORD_prospetto riassuntivo'!$B$21&gt;A19,A19+1,0))</f>
        <v>0</v>
      </c>
      <c r="B20" s="85">
        <f>'FNC-ORD_prospetto riassuntivo'!$B$10*'FNC-ORD_prospetto riassuntivo'!$B$25*H20</f>
        <v>0</v>
      </c>
      <c r="C20" s="85">
        <v>0</v>
      </c>
      <c r="D20" s="85">
        <f t="shared" si="0"/>
        <v>0</v>
      </c>
      <c r="E20" s="85">
        <v>0</v>
      </c>
      <c r="F20" s="85">
        <f>'FNC-ORD_prospetto riassuntivo'!$B$10</f>
        <v>50000</v>
      </c>
      <c r="G20" s="85">
        <f>B20/((1+IFERROR(SUM('FNC-ORD_prospetto riassuntivo'!$B$27,'FNC-ORD_prospetto riassuntivo'!$B$28)/'FNC-ORD_prospetto riassuntivo'!$B$19,0))^A20)</f>
        <v>0</v>
      </c>
      <c r="H20">
        <f>IF(A20=0,0,IF(OR(A20&lt;'FNC-ORD_prospetto riassuntivo'!$B$21,A20='FNC-ORD_prospetto riassuntivo'!$B$21),1,0))</f>
        <v>0</v>
      </c>
      <c r="J20" s="84">
        <f>IF(J19=0,0,IF('FNC-ORD_prospetto riassuntivo'!$B$21+'FNC-ORD_prospetto riassuntivo'!$B$24&gt;J19,J19+1,0))</f>
        <v>18</v>
      </c>
      <c r="K20" s="85">
        <f>O19*'FNC-ORD_prospetto riassuntivo'!$B$26*Q20</f>
        <v>87.20356025192919</v>
      </c>
      <c r="L20" s="85">
        <f t="shared" si="1"/>
        <v>487.98860541886995</v>
      </c>
      <c r="M20" s="85">
        <f t="shared" si="2"/>
        <v>575.19216567079911</v>
      </c>
      <c r="N20" s="86">
        <f t="shared" si="3"/>
        <v>8630.2796844928616</v>
      </c>
      <c r="O20" s="85">
        <f>('FNC-ORD_prospetto riassuntivo'!$B$10-N20)*Q20</f>
        <v>41369.72031550714</v>
      </c>
      <c r="P20" s="85">
        <f>K20/(1+SUM('FNC-ORD_prospetto riassuntivo'!$B$27:$B$28)/'FNC-ORD_prospetto riassuntivo'!$B$22)^J20</f>
        <v>80.782301238051403</v>
      </c>
      <c r="Q20">
        <f>IF(J20=0,0,IF(OR(J20&lt;'FNC-ORD_prospetto riassuntivo'!$B$21+'FNC-ORD_prospetto riassuntivo'!$B$24,J20='FNC-ORD_prospetto riassuntivo'!$B$21+'FNC-ORD_prospetto riassuntivo'!$B$24),1,0))</f>
        <v>1</v>
      </c>
    </row>
    <row r="21" spans="1:17" x14ac:dyDescent="0.25">
      <c r="A21" s="84">
        <f>IF(A20=0,0,IF('FNC-ORD_prospetto riassuntivo'!$B$21&gt;A20,A20+1,0))</f>
        <v>0</v>
      </c>
      <c r="B21" s="85">
        <f>'FNC-ORD_prospetto riassuntivo'!$B$10*'FNC-ORD_prospetto riassuntivo'!$B$25*H21</f>
        <v>0</v>
      </c>
      <c r="C21" s="85">
        <v>0</v>
      </c>
      <c r="D21" s="85">
        <f t="shared" si="0"/>
        <v>0</v>
      </c>
      <c r="E21" s="85">
        <v>0</v>
      </c>
      <c r="F21" s="85">
        <f>'FNC-ORD_prospetto riassuntivo'!$B$10</f>
        <v>50000</v>
      </c>
      <c r="G21" s="85">
        <f>B21/((1+IFERROR(SUM('FNC-ORD_prospetto riassuntivo'!$B$27,'FNC-ORD_prospetto riassuntivo'!$B$28)/'FNC-ORD_prospetto riassuntivo'!$B$19,0))^A21)</f>
        <v>0</v>
      </c>
      <c r="H21">
        <f>IF(A21=0,0,IF(OR(A21&lt;'FNC-ORD_prospetto riassuntivo'!$B$21,A21='FNC-ORD_prospetto riassuntivo'!$B$21),1,0))</f>
        <v>0</v>
      </c>
      <c r="J21" s="84">
        <f>IF(J20=0,0,IF('FNC-ORD_prospetto riassuntivo'!$B$21+'FNC-ORD_prospetto riassuntivo'!$B$24&gt;J20,J20+1,0))</f>
        <v>19</v>
      </c>
      <c r="K21" s="85">
        <f>O20*'FNC-ORD_prospetto riassuntivo'!$B$26*Q21</f>
        <v>86.186917323973205</v>
      </c>
      <c r="L21" s="85">
        <f t="shared" si="1"/>
        <v>489.00524834682591</v>
      </c>
      <c r="M21" s="85">
        <f t="shared" si="2"/>
        <v>575.19216567079911</v>
      </c>
      <c r="N21" s="86">
        <f t="shared" si="3"/>
        <v>9119.2849328396878</v>
      </c>
      <c r="O21" s="85">
        <f>('FNC-ORD_prospetto riassuntivo'!$B$10-N21)*Q21</f>
        <v>40880.715067160316</v>
      </c>
      <c r="P21" s="85">
        <f>K21/(1+SUM('FNC-ORD_prospetto riassuntivo'!$B$27:$B$28)/'FNC-ORD_prospetto riassuntivo'!$B$22)^J21</f>
        <v>79.501973199318229</v>
      </c>
      <c r="Q21">
        <f>IF(J21=0,0,IF(OR(J21&lt;'FNC-ORD_prospetto riassuntivo'!$B$21+'FNC-ORD_prospetto riassuntivo'!$B$24,J21='FNC-ORD_prospetto riassuntivo'!$B$21+'FNC-ORD_prospetto riassuntivo'!$B$24),1,0))</f>
        <v>1</v>
      </c>
    </row>
    <row r="22" spans="1:17" x14ac:dyDescent="0.25">
      <c r="A22" s="84">
        <f>IF(A21=0,0,IF('FNC-ORD_prospetto riassuntivo'!$B$21&gt;A21,A21+1,0))</f>
        <v>0</v>
      </c>
      <c r="B22" s="85">
        <f>'FNC-ORD_prospetto riassuntivo'!$B$10*'FNC-ORD_prospetto riassuntivo'!$B$25*H22</f>
        <v>0</v>
      </c>
      <c r="C22" s="85">
        <v>0</v>
      </c>
      <c r="D22" s="85">
        <f t="shared" si="0"/>
        <v>0</v>
      </c>
      <c r="E22" s="85">
        <v>0</v>
      </c>
      <c r="F22" s="85">
        <f>'FNC-ORD_prospetto riassuntivo'!$B$10</f>
        <v>50000</v>
      </c>
      <c r="G22" s="85">
        <f>B22/((1+IFERROR(SUM('FNC-ORD_prospetto riassuntivo'!$B$27,'FNC-ORD_prospetto riassuntivo'!$B$28)/'FNC-ORD_prospetto riassuntivo'!$B$19,0))^A22)</f>
        <v>0</v>
      </c>
      <c r="H22">
        <f>IF(A22=0,0,IF(OR(A22&lt;'FNC-ORD_prospetto riassuntivo'!$B$21,A22='FNC-ORD_prospetto riassuntivo'!$B$21),1,0))</f>
        <v>0</v>
      </c>
      <c r="J22" s="84">
        <f>IF(J21=0,0,IF('FNC-ORD_prospetto riassuntivo'!$B$21+'FNC-ORD_prospetto riassuntivo'!$B$24&gt;J21,J21+1,0))</f>
        <v>20</v>
      </c>
      <c r="K22" s="85">
        <f>O21*'FNC-ORD_prospetto riassuntivo'!$B$26*Q22</f>
        <v>85.168156389917328</v>
      </c>
      <c r="L22" s="85">
        <f t="shared" si="1"/>
        <v>490.02400928088178</v>
      </c>
      <c r="M22" s="85">
        <f t="shared" si="2"/>
        <v>575.19216567079911</v>
      </c>
      <c r="N22" s="86">
        <f t="shared" si="3"/>
        <v>9609.3089421205696</v>
      </c>
      <c r="O22" s="85">
        <f>('FNC-ORD_prospetto riassuntivo'!$B$10-N22)*Q22</f>
        <v>40390.691057879434</v>
      </c>
      <c r="P22" s="85">
        <f>K22/(1+SUM('FNC-ORD_prospetto riassuntivo'!$B$27:$B$28)/'FNC-ORD_prospetto riassuntivo'!$B$22)^J22</f>
        <v>78.22910514750339</v>
      </c>
      <c r="Q22">
        <f>IF(J22=0,0,IF(OR(J22&lt;'FNC-ORD_prospetto riassuntivo'!$B$21+'FNC-ORD_prospetto riassuntivo'!$B$24,J22='FNC-ORD_prospetto riassuntivo'!$B$21+'FNC-ORD_prospetto riassuntivo'!$B$24),1,0))</f>
        <v>1</v>
      </c>
    </row>
    <row r="23" spans="1:17" x14ac:dyDescent="0.25">
      <c r="A23" s="84">
        <f>IF(A22=0,0,IF('FNC-ORD_prospetto riassuntivo'!$B$21&gt;A22,A22+1,0))</f>
        <v>0</v>
      </c>
      <c r="B23" s="85">
        <f>'FNC-ORD_prospetto riassuntivo'!$B$10*'FNC-ORD_prospetto riassuntivo'!$B$25*H23</f>
        <v>0</v>
      </c>
      <c r="C23" s="85">
        <v>0</v>
      </c>
      <c r="D23" s="85">
        <f t="shared" si="0"/>
        <v>0</v>
      </c>
      <c r="E23" s="85">
        <v>0</v>
      </c>
      <c r="F23" s="85">
        <f>'FNC-ORD_prospetto riassuntivo'!$B$10</f>
        <v>50000</v>
      </c>
      <c r="G23" s="85">
        <f>B23/((1+IFERROR(SUM('FNC-ORD_prospetto riassuntivo'!$B$27,'FNC-ORD_prospetto riassuntivo'!$B$28)/'FNC-ORD_prospetto riassuntivo'!$B$19,0))^A23)</f>
        <v>0</v>
      </c>
      <c r="H23">
        <f>IF(A23=0,0,IF(OR(A23&lt;'FNC-ORD_prospetto riassuntivo'!$B$21,A23='FNC-ORD_prospetto riassuntivo'!$B$21),1,0))</f>
        <v>0</v>
      </c>
      <c r="J23" s="84">
        <f>IF(J22=0,0,IF('FNC-ORD_prospetto riassuntivo'!$B$21+'FNC-ORD_prospetto riassuntivo'!$B$24&gt;J22,J22+1,0))</f>
        <v>21</v>
      </c>
      <c r="K23" s="85">
        <f>O22*'FNC-ORD_prospetto riassuntivo'!$B$26*Q23</f>
        <v>84.147273037248823</v>
      </c>
      <c r="L23" s="85">
        <f t="shared" si="1"/>
        <v>491.04489263355026</v>
      </c>
      <c r="M23" s="85">
        <f t="shared" si="2"/>
        <v>575.19216567079911</v>
      </c>
      <c r="N23" s="86">
        <f t="shared" si="3"/>
        <v>10100.35383475412</v>
      </c>
      <c r="O23" s="85">
        <f>('FNC-ORD_prospetto riassuntivo'!$B$10-N23)*Q23</f>
        <v>39899.646165245882</v>
      </c>
      <c r="P23" s="85">
        <f>K23/(1+SUM('FNC-ORD_prospetto riassuntivo'!$B$27:$B$28)/'FNC-ORD_prospetto riassuntivo'!$B$22)^J23</f>
        <v>76.963661051413183</v>
      </c>
      <c r="Q23">
        <f>IF(J23=0,0,IF(OR(J23&lt;'FNC-ORD_prospetto riassuntivo'!$B$21+'FNC-ORD_prospetto riassuntivo'!$B$24,J23='FNC-ORD_prospetto riassuntivo'!$B$21+'FNC-ORD_prospetto riassuntivo'!$B$24),1,0))</f>
        <v>1</v>
      </c>
    </row>
    <row r="24" spans="1:17" x14ac:dyDescent="0.25">
      <c r="A24" s="84">
        <f>IF(A23=0,0,IF('FNC-ORD_prospetto riassuntivo'!$B$21&gt;A23,A23+1,0))</f>
        <v>0</v>
      </c>
      <c r="B24" s="85">
        <f>'FNC-ORD_prospetto riassuntivo'!$B$10*'FNC-ORD_prospetto riassuntivo'!$B$25*H24</f>
        <v>0</v>
      </c>
      <c r="C24" s="85">
        <v>0</v>
      </c>
      <c r="D24" s="85">
        <f t="shared" si="0"/>
        <v>0</v>
      </c>
      <c r="E24" s="85">
        <v>0</v>
      </c>
      <c r="F24" s="85">
        <f>'FNC-ORD_prospetto riassuntivo'!$B$10</f>
        <v>50000</v>
      </c>
      <c r="G24" s="85">
        <f>B24/((1+IFERROR(SUM('FNC-ORD_prospetto riassuntivo'!$B$27,'FNC-ORD_prospetto riassuntivo'!$B$28)/'FNC-ORD_prospetto riassuntivo'!$B$19,0))^A24)</f>
        <v>0</v>
      </c>
      <c r="H24">
        <f>IF(A24=0,0,IF(OR(A24&lt;'FNC-ORD_prospetto riassuntivo'!$B$21,A24='FNC-ORD_prospetto riassuntivo'!$B$21),1,0))</f>
        <v>0</v>
      </c>
      <c r="J24" s="84">
        <f>IF(J23=0,0,IF('FNC-ORD_prospetto riassuntivo'!$B$21+'FNC-ORD_prospetto riassuntivo'!$B$24&gt;J23,J23+1,0))</f>
        <v>22</v>
      </c>
      <c r="K24" s="85">
        <f>O23*'FNC-ORD_prospetto riassuntivo'!$B$26*Q24</f>
        <v>83.124262844262248</v>
      </c>
      <c r="L24" s="85">
        <f t="shared" si="1"/>
        <v>492.06790282653685</v>
      </c>
      <c r="M24" s="85">
        <f t="shared" si="2"/>
        <v>575.19216567079911</v>
      </c>
      <c r="N24" s="86">
        <f t="shared" si="3"/>
        <v>10592.421737580657</v>
      </c>
      <c r="O24" s="85">
        <f>('FNC-ORD_prospetto riassuntivo'!$B$10-N24)*Q24</f>
        <v>39407.578262419345</v>
      </c>
      <c r="P24" s="85">
        <f>K24/(1+SUM('FNC-ORD_prospetto riassuntivo'!$B$27:$B$28)/'FNC-ORD_prospetto riassuntivo'!$B$22)^J24</f>
        <v>75.705605042163029</v>
      </c>
      <c r="Q24">
        <f>IF(J24=0,0,IF(OR(J24&lt;'FNC-ORD_prospetto riassuntivo'!$B$21+'FNC-ORD_prospetto riassuntivo'!$B$24,J24='FNC-ORD_prospetto riassuntivo'!$B$21+'FNC-ORD_prospetto riassuntivo'!$B$24),1,0))</f>
        <v>1</v>
      </c>
    </row>
    <row r="25" spans="1:17" x14ac:dyDescent="0.25">
      <c r="A25" s="84">
        <f>IF(A24=0,0,IF('FNC-ORD_prospetto riassuntivo'!$B$21&gt;A24,A24+1,0))</f>
        <v>0</v>
      </c>
      <c r="B25" s="85">
        <f>'FNC-ORD_prospetto riassuntivo'!$B$10*'FNC-ORD_prospetto riassuntivo'!$B$25*H25</f>
        <v>0</v>
      </c>
      <c r="C25" s="85">
        <v>0</v>
      </c>
      <c r="D25" s="85">
        <f t="shared" si="0"/>
        <v>0</v>
      </c>
      <c r="E25" s="85">
        <v>0</v>
      </c>
      <c r="F25" s="85">
        <f>'FNC-ORD_prospetto riassuntivo'!$B$10</f>
        <v>50000</v>
      </c>
      <c r="G25" s="85">
        <f>B25/((1+IFERROR(SUM('FNC-ORD_prospetto riassuntivo'!$B$27,'FNC-ORD_prospetto riassuntivo'!$B$28)/'FNC-ORD_prospetto riassuntivo'!$B$19,0))^A25)</f>
        <v>0</v>
      </c>
      <c r="H25">
        <f>IF(A25=0,0,IF(OR(A25&lt;'FNC-ORD_prospetto riassuntivo'!$B$21,A25='FNC-ORD_prospetto riassuntivo'!$B$21),1,0))</f>
        <v>0</v>
      </c>
      <c r="J25" s="84">
        <f>IF(J24=0,0,IF('FNC-ORD_prospetto riassuntivo'!$B$21+'FNC-ORD_prospetto riassuntivo'!$B$24&gt;J24,J24+1,0))</f>
        <v>23</v>
      </c>
      <c r="K25" s="85">
        <f>O24*'FNC-ORD_prospetto riassuntivo'!$B$26*Q25</f>
        <v>82.099121380040302</v>
      </c>
      <c r="L25" s="85">
        <f t="shared" si="1"/>
        <v>493.09304429075883</v>
      </c>
      <c r="M25" s="85">
        <f t="shared" si="2"/>
        <v>575.19216567079911</v>
      </c>
      <c r="N25" s="86">
        <f t="shared" si="3"/>
        <v>11085.514781871416</v>
      </c>
      <c r="O25" s="85">
        <f>('FNC-ORD_prospetto riassuntivo'!$B$10-N25)*Q25</f>
        <v>38914.485218128582</v>
      </c>
      <c r="P25" s="85">
        <f>K25/(1+SUM('FNC-ORD_prospetto riassuntivo'!$B$27:$B$28)/'FNC-ORD_prospetto riassuntivo'!$B$22)^J25</f>
        <v>74.454901412468516</v>
      </c>
      <c r="Q25">
        <f>IF(J25=0,0,IF(OR(J25&lt;'FNC-ORD_prospetto riassuntivo'!$B$21+'FNC-ORD_prospetto riassuntivo'!$B$24,J25='FNC-ORD_prospetto riassuntivo'!$B$21+'FNC-ORD_prospetto riassuntivo'!$B$24),1,0))</f>
        <v>1</v>
      </c>
    </row>
    <row r="26" spans="1:17" x14ac:dyDescent="0.25">
      <c r="A26" s="84">
        <f>IF(A25=0,0,IF('FNC-ORD_prospetto riassuntivo'!$B$21&gt;A25,A25+1,0))</f>
        <v>0</v>
      </c>
      <c r="B26" s="85">
        <f>'FNC-ORD_prospetto riassuntivo'!$B$10*'FNC-ORD_prospetto riassuntivo'!$B$25*H26</f>
        <v>0</v>
      </c>
      <c r="C26" s="85">
        <v>0</v>
      </c>
      <c r="D26" s="85">
        <f t="shared" si="0"/>
        <v>0</v>
      </c>
      <c r="E26" s="85">
        <v>0</v>
      </c>
      <c r="F26" s="85">
        <f>'FNC-ORD_prospetto riassuntivo'!$B$10</f>
        <v>50000</v>
      </c>
      <c r="G26" s="85">
        <f>B26/((1+IFERROR(SUM('FNC-ORD_prospetto riassuntivo'!$B$27,'FNC-ORD_prospetto riassuntivo'!$B$28)/'FNC-ORD_prospetto riassuntivo'!$B$19,0))^A26)</f>
        <v>0</v>
      </c>
      <c r="H26">
        <f>IF(A26=0,0,IF(OR(A26&lt;'FNC-ORD_prospetto riassuntivo'!$B$21,A26='FNC-ORD_prospetto riassuntivo'!$B$21),1,0))</f>
        <v>0</v>
      </c>
      <c r="J26" s="84">
        <f>IF(J25=0,0,IF('FNC-ORD_prospetto riassuntivo'!$B$21+'FNC-ORD_prospetto riassuntivo'!$B$24&gt;J25,J25+1,0))</f>
        <v>24</v>
      </c>
      <c r="K26" s="85">
        <f>O25*'FNC-ORD_prospetto riassuntivo'!$B$26*Q26</f>
        <v>81.071844204434541</v>
      </c>
      <c r="L26" s="85">
        <f t="shared" si="1"/>
        <v>494.12032146636454</v>
      </c>
      <c r="M26" s="85">
        <f t="shared" si="2"/>
        <v>575.19216567079911</v>
      </c>
      <c r="N26" s="86">
        <f t="shared" si="3"/>
        <v>11579.63510333778</v>
      </c>
      <c r="O26" s="85">
        <f>('FNC-ORD_prospetto riassuntivo'!$B$10-N26)*Q26</f>
        <v>38420.36489666222</v>
      </c>
      <c r="P26" s="85">
        <f>K26/(1+SUM('FNC-ORD_prospetto riassuntivo'!$B$27:$B$28)/'FNC-ORD_prospetto riassuntivo'!$B$22)^J26</f>
        <v>73.211514615939421</v>
      </c>
      <c r="Q26">
        <f>IF(J26=0,0,IF(OR(J26&lt;'FNC-ORD_prospetto riassuntivo'!$B$21+'FNC-ORD_prospetto riassuntivo'!$B$24,J26='FNC-ORD_prospetto riassuntivo'!$B$21+'FNC-ORD_prospetto riassuntivo'!$B$24),1,0))</f>
        <v>1</v>
      </c>
    </row>
    <row r="27" spans="1:17" x14ac:dyDescent="0.25">
      <c r="J27" s="84">
        <f>IF(J26=0,0,IF('FNC-ORD_prospetto riassuntivo'!$B$21+'FNC-ORD_prospetto riassuntivo'!$B$24&gt;J26,J26+1,0))</f>
        <v>25</v>
      </c>
      <c r="K27" s="85">
        <f>O26*'FNC-ORD_prospetto riassuntivo'!$B$26*Q27</f>
        <v>80.042426868046292</v>
      </c>
      <c r="L27" s="85">
        <f t="shared" si="1"/>
        <v>495.14973880275284</v>
      </c>
      <c r="M27" s="85">
        <f t="shared" si="2"/>
        <v>575.19216567079911</v>
      </c>
      <c r="N27" s="86">
        <f t="shared" si="3"/>
        <v>12074.784842140532</v>
      </c>
      <c r="O27" s="85">
        <f>('FNC-ORD_prospetto riassuntivo'!$B$10-N27)*Q27</f>
        <v>37925.215157859464</v>
      </c>
      <c r="P27" s="85">
        <f>K27/(1+SUM('FNC-ORD_prospetto riassuntivo'!$B$27:$B$28)/'FNC-ORD_prospetto riassuntivo'!$B$22)^J27</f>
        <v>71.975409266377298</v>
      </c>
      <c r="Q27">
        <f>IF(J27=0,0,IF(OR(J27&lt;'FNC-ORD_prospetto riassuntivo'!$B$21+'FNC-ORD_prospetto riassuntivo'!$B$24,J27='FNC-ORD_prospetto riassuntivo'!$B$21+'FNC-ORD_prospetto riassuntivo'!$B$24),1,0))</f>
        <v>1</v>
      </c>
    </row>
    <row r="28" spans="1:17" x14ac:dyDescent="0.25">
      <c r="J28" s="84">
        <f>IF(J27=0,0,IF('FNC-ORD_prospetto riassuntivo'!$B$21+'FNC-ORD_prospetto riassuntivo'!$B$24&gt;J27,J27+1,0))</f>
        <v>26</v>
      </c>
      <c r="K28" s="85">
        <f>O27*'FNC-ORD_prospetto riassuntivo'!$B$26*Q28</f>
        <v>79.010864912207211</v>
      </c>
      <c r="L28" s="85">
        <f t="shared" si="1"/>
        <v>496.18130075859187</v>
      </c>
      <c r="M28" s="85">
        <f t="shared" si="2"/>
        <v>575.19216567079911</v>
      </c>
      <c r="N28" s="86">
        <f t="shared" si="3"/>
        <v>12570.966142899124</v>
      </c>
      <c r="O28" s="85">
        <f>('FNC-ORD_prospetto riassuntivo'!$B$10-N28)*Q28</f>
        <v>37429.033857100876</v>
      </c>
      <c r="P28" s="85">
        <f>K28/(1+SUM('FNC-ORD_prospetto riassuntivo'!$B$27:$B$28)/'FNC-ORD_prospetto riassuntivo'!$B$22)^J28</f>
        <v>70.746550137075289</v>
      </c>
      <c r="Q28">
        <f>IF(J28=0,0,IF(OR(J28&lt;'FNC-ORD_prospetto riassuntivo'!$B$21+'FNC-ORD_prospetto riassuntivo'!$B$24,J28='FNC-ORD_prospetto riassuntivo'!$B$21+'FNC-ORD_prospetto riassuntivo'!$B$24),1,0))</f>
        <v>1</v>
      </c>
    </row>
    <row r="29" spans="1:17" x14ac:dyDescent="0.25">
      <c r="J29" s="84">
        <f>IF(J28=0,0,IF('FNC-ORD_prospetto riassuntivo'!$B$21+'FNC-ORD_prospetto riassuntivo'!$B$24&gt;J28,J28+1,0))</f>
        <v>27</v>
      </c>
      <c r="K29" s="85">
        <f>O28*'FNC-ORD_prospetto riassuntivo'!$B$26*Q29</f>
        <v>77.977153868960158</v>
      </c>
      <c r="L29" s="85">
        <f t="shared" si="1"/>
        <v>497.21501180183895</v>
      </c>
      <c r="M29" s="85">
        <f t="shared" si="2"/>
        <v>575.19216567079911</v>
      </c>
      <c r="N29" s="86">
        <f t="shared" si="3"/>
        <v>13068.181154700964</v>
      </c>
      <c r="O29" s="85">
        <f>('FNC-ORD_prospetto riassuntivo'!$B$10-N29)*Q29</f>
        <v>36931.818845299036</v>
      </c>
      <c r="P29" s="85">
        <f>K29/(1+SUM('FNC-ORD_prospetto riassuntivo'!$B$27:$B$28)/'FNC-ORD_prospetto riassuntivo'!$B$22)^J29</f>
        <v>69.524902160121755</v>
      </c>
      <c r="Q29">
        <f>IF(J29=0,0,IF(OR(J29&lt;'FNC-ORD_prospetto riassuntivo'!$B$21+'FNC-ORD_prospetto riassuntivo'!$B$24,J29='FNC-ORD_prospetto riassuntivo'!$B$21+'FNC-ORD_prospetto riassuntivo'!$B$24),1,0))</f>
        <v>1</v>
      </c>
    </row>
    <row r="30" spans="1:17" x14ac:dyDescent="0.25">
      <c r="J30" s="84">
        <f>IF(J29=0,0,IF('FNC-ORD_prospetto riassuntivo'!$B$21+'FNC-ORD_prospetto riassuntivo'!$B$24&gt;J29,J29+1,0))</f>
        <v>28</v>
      </c>
      <c r="K30" s="85">
        <f>O29*'FNC-ORD_prospetto riassuntivo'!$B$26*Q30</f>
        <v>76.941289261039657</v>
      </c>
      <c r="L30" s="85">
        <f t="shared" si="1"/>
        <v>498.25087640975948</v>
      </c>
      <c r="M30" s="85">
        <f t="shared" si="2"/>
        <v>575.19216567079911</v>
      </c>
      <c r="N30" s="86">
        <f t="shared" si="3"/>
        <v>13566.432031110724</v>
      </c>
      <c r="O30" s="85">
        <f>('FNC-ORD_prospetto riassuntivo'!$B$10-N30)*Q30</f>
        <v>36433.567968889278</v>
      </c>
      <c r="P30" s="85">
        <f>K30/(1+SUM('FNC-ORD_prospetto riassuntivo'!$B$27:$B$28)/'FNC-ORD_prospetto riassuntivo'!$B$22)^J30</f>
        <v>68.310430425706244</v>
      </c>
      <c r="Q30">
        <f>IF(J30=0,0,IF(OR(J30&lt;'FNC-ORD_prospetto riassuntivo'!$B$21+'FNC-ORD_prospetto riassuntivo'!$B$24,J30='FNC-ORD_prospetto riassuntivo'!$B$21+'FNC-ORD_prospetto riassuntivo'!$B$24),1,0))</f>
        <v>1</v>
      </c>
    </row>
    <row r="31" spans="1:17" x14ac:dyDescent="0.25">
      <c r="J31" s="84">
        <f>IF(J30=0,0,IF('FNC-ORD_prospetto riassuntivo'!$B$21+'FNC-ORD_prospetto riassuntivo'!$B$24&gt;J30,J30+1,0))</f>
        <v>29</v>
      </c>
      <c r="K31" s="85">
        <f>O30*'FNC-ORD_prospetto riassuntivo'!$B$26*Q31</f>
        <v>75.903266601852664</v>
      </c>
      <c r="L31" s="85">
        <f t="shared" si="1"/>
        <v>499.28889906894642</v>
      </c>
      <c r="M31" s="85">
        <f t="shared" si="2"/>
        <v>575.19216567079911</v>
      </c>
      <c r="N31" s="86">
        <f t="shared" si="3"/>
        <v>14065.72093017967</v>
      </c>
      <c r="O31" s="85">
        <f>('FNC-ORD_prospetto riassuntivo'!$B$10-N31)*Q31</f>
        <v>35934.279069820332</v>
      </c>
      <c r="P31" s="85">
        <f>K31/(1+SUM('FNC-ORD_prospetto riassuntivo'!$B$27:$B$28)/'FNC-ORD_prospetto riassuntivo'!$B$22)^J31</f>
        <v>67.103100181428957</v>
      </c>
      <c r="Q31">
        <f>IF(J31=0,0,IF(OR(J31&lt;'FNC-ORD_prospetto riassuntivo'!$B$21+'FNC-ORD_prospetto riassuntivo'!$B$24,J31='FNC-ORD_prospetto riassuntivo'!$B$21+'FNC-ORD_prospetto riassuntivo'!$B$24),1,0))</f>
        <v>1</v>
      </c>
    </row>
    <row r="32" spans="1:17" x14ac:dyDescent="0.25">
      <c r="J32" s="84">
        <f>IF(J31=0,0,IF('FNC-ORD_prospetto riassuntivo'!$B$21+'FNC-ORD_prospetto riassuntivo'!$B$24&gt;J31,J31+1,0))</f>
        <v>30</v>
      </c>
      <c r="K32" s="85">
        <f>O31*'FNC-ORD_prospetto riassuntivo'!$B$26*Q32</f>
        <v>74.86308139545902</v>
      </c>
      <c r="L32" s="85">
        <f t="shared" si="1"/>
        <v>500.32908427534011</v>
      </c>
      <c r="M32" s="85">
        <f t="shared" si="2"/>
        <v>575.19216567079911</v>
      </c>
      <c r="N32" s="86">
        <f t="shared" si="3"/>
        <v>14566.05001445501</v>
      </c>
      <c r="O32" s="85">
        <f>('FNC-ORD_prospetto riassuntivo'!$B$10-N32)*Q32</f>
        <v>35433.94998554499</v>
      </c>
      <c r="P32" s="85">
        <f>K32/(1+SUM('FNC-ORD_prospetto riassuntivo'!$B$27:$B$28)/'FNC-ORD_prospetto riassuntivo'!$B$22)^J32</f>
        <v>65.902876831612772</v>
      </c>
      <c r="Q32">
        <f>IF(J32=0,0,IF(OR(J32&lt;'FNC-ORD_prospetto riassuntivo'!$B$21+'FNC-ORD_prospetto riassuntivo'!$B$24,J32='FNC-ORD_prospetto riassuntivo'!$B$21+'FNC-ORD_prospetto riassuntivo'!$B$24),1,0))</f>
        <v>1</v>
      </c>
    </row>
    <row r="33" spans="10:17" x14ac:dyDescent="0.25">
      <c r="J33" s="84">
        <f>IF(J32=0,0,IF('FNC-ORD_prospetto riassuntivo'!$B$21+'FNC-ORD_prospetto riassuntivo'!$B$24&gt;J32,J32+1,0))</f>
        <v>31</v>
      </c>
      <c r="K33" s="85">
        <f>O32*'FNC-ORD_prospetto riassuntivo'!$B$26*Q33</f>
        <v>73.82072913655206</v>
      </c>
      <c r="L33" s="85">
        <f t="shared" si="1"/>
        <v>501.37143653424704</v>
      </c>
      <c r="M33" s="85">
        <f t="shared" si="2"/>
        <v>575.19216567079911</v>
      </c>
      <c r="N33" s="86">
        <f t="shared" si="3"/>
        <v>15067.421450989257</v>
      </c>
      <c r="O33" s="85">
        <f>('FNC-ORD_prospetto riassuntivo'!$B$10-N33)*Q33</f>
        <v>34932.578549010745</v>
      </c>
      <c r="P33" s="85">
        <f>K33/(1+SUM('FNC-ORD_prospetto riassuntivo'!$B$27:$B$28)/'FNC-ORD_prospetto riassuntivo'!$B$22)^J33</f>
        <v>64.709725936618582</v>
      </c>
      <c r="Q33">
        <f>IF(J33=0,0,IF(OR(J33&lt;'FNC-ORD_prospetto riassuntivo'!$B$21+'FNC-ORD_prospetto riassuntivo'!$B$24,J33='FNC-ORD_prospetto riassuntivo'!$B$21+'FNC-ORD_prospetto riassuntivo'!$B$24),1,0))</f>
        <v>1</v>
      </c>
    </row>
    <row r="34" spans="10:17" x14ac:dyDescent="0.25">
      <c r="J34" s="84">
        <f>IF(J33=0,0,IF('FNC-ORD_prospetto riassuntivo'!$B$21+'FNC-ORD_prospetto riassuntivo'!$B$24&gt;J33,J33+1,0))</f>
        <v>32</v>
      </c>
      <c r="K34" s="85">
        <f>O33*'FNC-ORD_prospetto riassuntivo'!$B$26*Q34</f>
        <v>72.776205310439053</v>
      </c>
      <c r="L34" s="85">
        <f t="shared" si="1"/>
        <v>502.41596036036003</v>
      </c>
      <c r="M34" s="85">
        <f t="shared" si="2"/>
        <v>575.19216567079911</v>
      </c>
      <c r="N34" s="86">
        <f t="shared" si="3"/>
        <v>15569.837411349617</v>
      </c>
      <c r="O34" s="85">
        <f>('FNC-ORD_prospetto riassuntivo'!$B$10-N34)*Q34</f>
        <v>34430.162588650383</v>
      </c>
      <c r="P34" s="85">
        <f>K34/(1+SUM('FNC-ORD_prospetto riassuntivo'!$B$27:$B$28)/'FNC-ORD_prospetto riassuntivo'!$B$22)^J34</f>
        <v>63.523613212163269</v>
      </c>
      <c r="Q34">
        <f>IF(J34=0,0,IF(OR(J34&lt;'FNC-ORD_prospetto riassuntivo'!$B$21+'FNC-ORD_prospetto riassuntivo'!$B$24,J34='FNC-ORD_prospetto riassuntivo'!$B$21+'FNC-ORD_prospetto riassuntivo'!$B$24),1,0))</f>
        <v>1</v>
      </c>
    </row>
    <row r="35" spans="10:17" x14ac:dyDescent="0.25">
      <c r="J35" s="84">
        <f>IF(J34=0,0,IF('FNC-ORD_prospetto riassuntivo'!$B$21+'FNC-ORD_prospetto riassuntivo'!$B$24&gt;J34,J34+1,0))</f>
        <v>33</v>
      </c>
      <c r="K35" s="85">
        <f>O34*'FNC-ORD_prospetto riassuntivo'!$B$26*Q35</f>
        <v>71.729505393021626</v>
      </c>
      <c r="L35" s="85">
        <f t="shared" ref="L35:L66" si="4">M35-K35</f>
        <v>503.4626602777775</v>
      </c>
      <c r="M35" s="85">
        <f t="shared" si="2"/>
        <v>575.19216567079911</v>
      </c>
      <c r="N35" s="86">
        <f t="shared" si="3"/>
        <v>16073.300071627395</v>
      </c>
      <c r="O35" s="85">
        <f>('FNC-ORD_prospetto riassuntivo'!$B$10-N35)*Q35</f>
        <v>33926.699928372604</v>
      </c>
      <c r="P35" s="85">
        <f>K35/(1+SUM('FNC-ORD_prospetto riassuntivo'!$B$27:$B$28)/'FNC-ORD_prospetto riassuntivo'!$B$22)^J35</f>
        <v>62.344504528640911</v>
      </c>
      <c r="Q35">
        <f>IF(J35=0,0,IF(OR(J35&lt;'FNC-ORD_prospetto riassuntivo'!$B$21+'FNC-ORD_prospetto riassuntivo'!$B$24,J35='FNC-ORD_prospetto riassuntivo'!$B$21+'FNC-ORD_prospetto riassuntivo'!$B$24),1,0))</f>
        <v>1</v>
      </c>
    </row>
    <row r="36" spans="10:17" x14ac:dyDescent="0.25">
      <c r="J36" s="84">
        <f>IF(J35=0,0,IF('FNC-ORD_prospetto riassuntivo'!$B$21+'FNC-ORD_prospetto riassuntivo'!$B$24&gt;J35,J35+1,0))</f>
        <v>34</v>
      </c>
      <c r="K36" s="85">
        <f>O35*'FNC-ORD_prospetto riassuntivo'!$B$26*Q36</f>
        <v>70.680624850776255</v>
      </c>
      <c r="L36" s="85">
        <f t="shared" si="4"/>
        <v>504.51154082002284</v>
      </c>
      <c r="M36" s="85">
        <f t="shared" ref="M36:M67" si="5">$M$3*Q36</f>
        <v>575.19216567079911</v>
      </c>
      <c r="N36" s="86">
        <f t="shared" ref="N36:N67" si="6">(L36+N35)*Q36</f>
        <v>16577.811612447418</v>
      </c>
      <c r="O36" s="85">
        <f>('FNC-ORD_prospetto riassuntivo'!$B$10-N36)*Q36</f>
        <v>33422.188387552582</v>
      </c>
      <c r="P36" s="85">
        <f>K36/(1+SUM('FNC-ORD_prospetto riassuntivo'!$B$27:$B$28)/'FNC-ORD_prospetto riassuntivo'!$B$22)^J36</f>
        <v>61.172365910446629</v>
      </c>
      <c r="Q36">
        <f>IF(J36=0,0,IF(OR(J36&lt;'FNC-ORD_prospetto riassuntivo'!$B$21+'FNC-ORD_prospetto riassuntivo'!$B$24,J36='FNC-ORD_prospetto riassuntivo'!$B$21+'FNC-ORD_prospetto riassuntivo'!$B$24),1,0))</f>
        <v>1</v>
      </c>
    </row>
    <row r="37" spans="10:17" x14ac:dyDescent="0.25">
      <c r="J37" s="84">
        <f>IF(J36=0,0,IF('FNC-ORD_prospetto riassuntivo'!$B$21+'FNC-ORD_prospetto riassuntivo'!$B$24&gt;J36,J36+1,0))</f>
        <v>35</v>
      </c>
      <c r="K37" s="85">
        <f>O36*'FNC-ORD_prospetto riassuntivo'!$B$26*Q37</f>
        <v>69.629559140734543</v>
      </c>
      <c r="L37" s="85">
        <f t="shared" si="4"/>
        <v>505.56260653006456</v>
      </c>
      <c r="M37" s="85">
        <f t="shared" si="5"/>
        <v>575.19216567079911</v>
      </c>
      <c r="N37" s="86">
        <f t="shared" si="6"/>
        <v>17083.374218977482</v>
      </c>
      <c r="O37" s="85">
        <f>('FNC-ORD_prospetto riassuntivo'!$B$10-N37)*Q37</f>
        <v>32916.625781022522</v>
      </c>
      <c r="P37" s="85">
        <f>K37/(1+SUM('FNC-ORD_prospetto riassuntivo'!$B$27:$B$28)/'FNC-ORD_prospetto riassuntivo'!$B$22)^J37</f>
        <v>60.007163535303562</v>
      </c>
      <c r="Q37">
        <f>IF(J37=0,0,IF(OR(J37&lt;'FNC-ORD_prospetto riassuntivo'!$B$21+'FNC-ORD_prospetto riassuntivo'!$B$24,J37='FNC-ORD_prospetto riassuntivo'!$B$21+'FNC-ORD_prospetto riassuntivo'!$B$24),1,0))</f>
        <v>1</v>
      </c>
    </row>
    <row r="38" spans="10:17" x14ac:dyDescent="0.25">
      <c r="J38" s="84">
        <f>IF(J37=0,0,IF('FNC-ORD_prospetto riassuntivo'!$B$21+'FNC-ORD_prospetto riassuntivo'!$B$24&gt;J37,J37+1,0))</f>
        <v>36</v>
      </c>
      <c r="K38" s="85">
        <f>O37*'FNC-ORD_prospetto riassuntivo'!$B$26*Q38</f>
        <v>68.576303710463591</v>
      </c>
      <c r="L38" s="85">
        <f t="shared" si="4"/>
        <v>506.61586196033551</v>
      </c>
      <c r="M38" s="85">
        <f t="shared" si="5"/>
        <v>575.19216567079911</v>
      </c>
      <c r="N38" s="86">
        <f t="shared" si="6"/>
        <v>17589.990080937816</v>
      </c>
      <c r="O38" s="85">
        <f>('FNC-ORD_prospetto riassuntivo'!$B$10-N38)*Q38</f>
        <v>32410.009919062184</v>
      </c>
      <c r="P38" s="85">
        <f>K38/(1+SUM('FNC-ORD_prospetto riassuntivo'!$B$27:$B$28)/'FNC-ORD_prospetto riassuntivo'!$B$22)^J38</f>
        <v>58.848863733592594</v>
      </c>
      <c r="Q38">
        <f>IF(J38=0,0,IF(OR(J38&lt;'FNC-ORD_prospetto riassuntivo'!$B$21+'FNC-ORD_prospetto riassuntivo'!$B$24,J38='FNC-ORD_prospetto riassuntivo'!$B$21+'FNC-ORD_prospetto riassuntivo'!$B$24),1,0))</f>
        <v>1</v>
      </c>
    </row>
    <row r="39" spans="10:17" x14ac:dyDescent="0.25">
      <c r="J39" s="84">
        <f>IF(J38=0,0,IF('FNC-ORD_prospetto riassuntivo'!$B$21+'FNC-ORD_prospetto riassuntivo'!$B$24&gt;J38,J38+1,0))</f>
        <v>37</v>
      </c>
      <c r="K39" s="85">
        <f>O38*'FNC-ORD_prospetto riassuntivo'!$B$26*Q39</f>
        <v>67.520853998046221</v>
      </c>
      <c r="L39" s="85">
        <f t="shared" si="4"/>
        <v>507.67131167275289</v>
      </c>
      <c r="M39" s="85">
        <f t="shared" si="5"/>
        <v>575.19216567079911</v>
      </c>
      <c r="N39" s="86">
        <f t="shared" si="6"/>
        <v>18097.661392610567</v>
      </c>
      <c r="O39" s="85">
        <f>('FNC-ORD_prospetto riassuntivo'!$B$10-N39)*Q39</f>
        <v>31902.338607389433</v>
      </c>
      <c r="P39" s="85">
        <f>K39/(1+SUM('FNC-ORD_prospetto riassuntivo'!$B$27:$B$28)/'FNC-ORD_prospetto riassuntivo'!$B$22)^J39</f>
        <v>57.697432987685055</v>
      </c>
      <c r="Q39">
        <f>IF(J39=0,0,IF(OR(J39&lt;'FNC-ORD_prospetto riassuntivo'!$B$21+'FNC-ORD_prospetto riassuntivo'!$B$24,J39='FNC-ORD_prospetto riassuntivo'!$B$21+'FNC-ORD_prospetto riassuntivo'!$B$24),1,0))</f>
        <v>1</v>
      </c>
    </row>
    <row r="40" spans="10:17" x14ac:dyDescent="0.25">
      <c r="J40" s="84">
        <f>IF(J39=0,0,IF('FNC-ORD_prospetto riassuntivo'!$B$21+'FNC-ORD_prospetto riassuntivo'!$B$24&gt;J39,J39+1,0))</f>
        <v>38</v>
      </c>
      <c r="K40" s="85">
        <f>O39*'FNC-ORD_prospetto riassuntivo'!$B$26*Q40</f>
        <v>66.463205432061315</v>
      </c>
      <c r="L40" s="85">
        <f t="shared" si="4"/>
        <v>508.72896023873778</v>
      </c>
      <c r="M40" s="85">
        <f t="shared" si="5"/>
        <v>575.19216567079911</v>
      </c>
      <c r="N40" s="86">
        <f t="shared" si="6"/>
        <v>18606.390352849307</v>
      </c>
      <c r="O40" s="85">
        <f>('FNC-ORD_prospetto riassuntivo'!$B$10-N40)*Q40</f>
        <v>31393.609647150693</v>
      </c>
      <c r="P40" s="85">
        <f>K40/(1+SUM('FNC-ORD_prospetto riassuntivo'!$B$27:$B$28)/'FNC-ORD_prospetto riassuntivo'!$B$22)^J40</f>
        <v>56.55283793127829</v>
      </c>
      <c r="Q40">
        <f>IF(J40=0,0,IF(OR(J40&lt;'FNC-ORD_prospetto riassuntivo'!$B$21+'FNC-ORD_prospetto riassuntivo'!$B$24,J40='FNC-ORD_prospetto riassuntivo'!$B$21+'FNC-ORD_prospetto riassuntivo'!$B$24),1,0))</f>
        <v>1</v>
      </c>
    </row>
    <row r="41" spans="10:17" x14ac:dyDescent="0.25">
      <c r="J41" s="84">
        <f>IF(J40=0,0,IF('FNC-ORD_prospetto riassuntivo'!$B$21+'FNC-ORD_prospetto riassuntivo'!$B$24&gt;J40,J40+1,0))</f>
        <v>39</v>
      </c>
      <c r="K41" s="85">
        <f>O40*'FNC-ORD_prospetto riassuntivo'!$B$26*Q41</f>
        <v>65.403353431563943</v>
      </c>
      <c r="L41" s="85">
        <f t="shared" si="4"/>
        <v>509.7888122392352</v>
      </c>
      <c r="M41" s="85">
        <f t="shared" si="5"/>
        <v>575.19216567079911</v>
      </c>
      <c r="N41" s="86">
        <f t="shared" si="6"/>
        <v>19116.179165088543</v>
      </c>
      <c r="O41" s="85">
        <f>('FNC-ORD_prospetto riassuntivo'!$B$10-N41)*Q41</f>
        <v>30883.820834911457</v>
      </c>
      <c r="P41" s="85">
        <f>K41/(1+SUM('FNC-ORD_prospetto riassuntivo'!$B$27:$B$28)/'FNC-ORD_prospetto riassuntivo'!$B$22)^J41</f>
        <v>55.415045348734047</v>
      </c>
      <c r="Q41">
        <f>IF(J41=0,0,IF(OR(J41&lt;'FNC-ORD_prospetto riassuntivo'!$B$21+'FNC-ORD_prospetto riassuntivo'!$B$24,J41='FNC-ORD_prospetto riassuntivo'!$B$21+'FNC-ORD_prospetto riassuntivo'!$B$24),1,0))</f>
        <v>1</v>
      </c>
    </row>
    <row r="42" spans="10:17" x14ac:dyDescent="0.25">
      <c r="J42" s="84">
        <f>IF(J41=0,0,IF('FNC-ORD_prospetto riassuntivo'!$B$21+'FNC-ORD_prospetto riassuntivo'!$B$24&gt;J41,J41+1,0))</f>
        <v>40</v>
      </c>
      <c r="K42" s="85">
        <f>O41*'FNC-ORD_prospetto riassuntivo'!$B$26*Q42</f>
        <v>64.341293406065532</v>
      </c>
      <c r="L42" s="85">
        <f t="shared" si="4"/>
        <v>510.8508722647336</v>
      </c>
      <c r="M42" s="85">
        <f t="shared" si="5"/>
        <v>575.19216567079911</v>
      </c>
      <c r="N42" s="86">
        <f t="shared" si="6"/>
        <v>19627.030037353277</v>
      </c>
      <c r="O42" s="85">
        <f>('FNC-ORD_prospetto riassuntivo'!$B$10-N42)*Q42</f>
        <v>30372.969962646723</v>
      </c>
      <c r="P42" s="85">
        <f>K42/(1+SUM('FNC-ORD_prospetto riassuntivo'!$B$27:$B$28)/'FNC-ORD_prospetto riassuntivo'!$B$22)^J42</f>
        <v>54.284022174419711</v>
      </c>
      <c r="Q42">
        <f>IF(J42=0,0,IF(OR(J42&lt;'FNC-ORD_prospetto riassuntivo'!$B$21+'FNC-ORD_prospetto riassuntivo'!$B$24,J42='FNC-ORD_prospetto riassuntivo'!$B$21+'FNC-ORD_prospetto riassuntivo'!$B$24),1,0))</f>
        <v>1</v>
      </c>
    </row>
    <row r="43" spans="10:17" x14ac:dyDescent="0.25">
      <c r="J43" s="84">
        <f>IF(J42=0,0,IF('FNC-ORD_prospetto riassuntivo'!$B$21+'FNC-ORD_prospetto riassuntivo'!$B$24&gt;J42,J42+1,0))</f>
        <v>41</v>
      </c>
      <c r="K43" s="85">
        <f>O42*'FNC-ORD_prospetto riassuntivo'!$B$26*Q43</f>
        <v>63.277020755514002</v>
      </c>
      <c r="L43" s="85">
        <f t="shared" si="4"/>
        <v>511.91514491528511</v>
      </c>
      <c r="M43" s="85">
        <f t="shared" si="5"/>
        <v>575.19216567079911</v>
      </c>
      <c r="N43" s="86">
        <f t="shared" si="6"/>
        <v>20138.945182268562</v>
      </c>
      <c r="O43" s="85">
        <f>('FNC-ORD_prospetto riassuntivo'!$B$10-N43)*Q43</f>
        <v>29861.054817731438</v>
      </c>
      <c r="P43" s="85">
        <f>K43/(1+SUM('FNC-ORD_prospetto riassuntivo'!$B$27:$B$28)/'FNC-ORD_prospetto riassuntivo'!$B$22)^J43</f>
        <v>53.159735492052427</v>
      </c>
      <c r="Q43">
        <f>IF(J43=0,0,IF(OR(J43&lt;'FNC-ORD_prospetto riassuntivo'!$B$21+'FNC-ORD_prospetto riassuntivo'!$B$24,J43='FNC-ORD_prospetto riassuntivo'!$B$21+'FNC-ORD_prospetto riassuntivo'!$B$24),1,0))</f>
        <v>1</v>
      </c>
    </row>
    <row r="44" spans="10:17" x14ac:dyDescent="0.25">
      <c r="J44" s="84">
        <f>IF(J43=0,0,IF('FNC-ORD_prospetto riassuntivo'!$B$21+'FNC-ORD_prospetto riassuntivo'!$B$24&gt;J43,J43+1,0))</f>
        <v>42</v>
      </c>
      <c r="K44" s="85">
        <f>O43*'FNC-ORD_prospetto riassuntivo'!$B$26*Q44</f>
        <v>62.210530870273828</v>
      </c>
      <c r="L44" s="85">
        <f t="shared" si="4"/>
        <v>512.98163480052528</v>
      </c>
      <c r="M44" s="85">
        <f t="shared" si="5"/>
        <v>575.19216567079911</v>
      </c>
      <c r="N44" s="86">
        <f t="shared" si="6"/>
        <v>20651.926817069088</v>
      </c>
      <c r="O44" s="85">
        <f>('FNC-ORD_prospetto riassuntivo'!$B$10-N44)*Q44</f>
        <v>29348.073182930912</v>
      </c>
      <c r="P44" s="85">
        <f>K44/(1+SUM('FNC-ORD_prospetto riassuntivo'!$B$27:$B$28)/'FNC-ORD_prospetto riassuntivo'!$B$22)^J44</f>
        <v>52.042152534045982</v>
      </c>
      <c r="Q44">
        <f>IF(J44=0,0,IF(OR(J44&lt;'FNC-ORD_prospetto riassuntivo'!$B$21+'FNC-ORD_prospetto riassuntivo'!$B$24,J44='FNC-ORD_prospetto riassuntivo'!$B$21+'FNC-ORD_prospetto riassuntivo'!$B$24),1,0))</f>
        <v>1</v>
      </c>
    </row>
    <row r="45" spans="10:17" x14ac:dyDescent="0.25">
      <c r="J45" s="84">
        <f>IF(J44=0,0,IF('FNC-ORD_prospetto riassuntivo'!$B$21+'FNC-ORD_prospetto riassuntivo'!$B$24&gt;J44,J44+1,0))</f>
        <v>43</v>
      </c>
      <c r="K45" s="85">
        <f>O44*'FNC-ORD_prospetto riassuntivo'!$B$26*Q45</f>
        <v>61.141819131106068</v>
      </c>
      <c r="L45" s="85">
        <f t="shared" si="4"/>
        <v>514.05034653969301</v>
      </c>
      <c r="M45" s="85">
        <f t="shared" si="5"/>
        <v>575.19216567079911</v>
      </c>
      <c r="N45" s="86">
        <f t="shared" si="6"/>
        <v>21165.977163608783</v>
      </c>
      <c r="O45" s="85">
        <f>('FNC-ORD_prospetto riassuntivo'!$B$10-N45)*Q45</f>
        <v>28834.022836391217</v>
      </c>
      <c r="P45" s="85">
        <f>K45/(1+SUM('FNC-ORD_prospetto riassuntivo'!$B$27:$B$28)/'FNC-ORD_prospetto riassuntivo'!$B$22)^J45</f>
        <v>50.931240680860562</v>
      </c>
      <c r="Q45">
        <f>IF(J45=0,0,IF(OR(J45&lt;'FNC-ORD_prospetto riassuntivo'!$B$21+'FNC-ORD_prospetto riassuntivo'!$B$24,J45='FNC-ORD_prospetto riassuntivo'!$B$21+'FNC-ORD_prospetto riassuntivo'!$B$24),1,0))</f>
        <v>1</v>
      </c>
    </row>
    <row r="46" spans="10:17" x14ac:dyDescent="0.25">
      <c r="J46" s="84">
        <f>IF(J45=0,0,IF('FNC-ORD_prospetto riassuntivo'!$B$21+'FNC-ORD_prospetto riassuntivo'!$B$24&gt;J45,J45+1,0))</f>
        <v>44</v>
      </c>
      <c r="K46" s="85">
        <f>O45*'FNC-ORD_prospetto riassuntivo'!$B$26*Q46</f>
        <v>60.070880909148372</v>
      </c>
      <c r="L46" s="85">
        <f t="shared" si="4"/>
        <v>515.12128476165071</v>
      </c>
      <c r="M46" s="85">
        <f t="shared" si="5"/>
        <v>575.19216567079911</v>
      </c>
      <c r="N46" s="86">
        <f t="shared" si="6"/>
        <v>21681.098448370434</v>
      </c>
      <c r="O46" s="85">
        <f>('FNC-ORD_prospetto riassuntivo'!$B$10-N46)*Q46</f>
        <v>28318.901551629566</v>
      </c>
      <c r="P46" s="85">
        <f>K46/(1+SUM('FNC-ORD_prospetto riassuntivo'!$B$27:$B$28)/'FNC-ORD_prospetto riassuntivo'!$B$22)^J46</f>
        <v>49.826967460355284</v>
      </c>
      <c r="Q46">
        <f>IF(J46=0,0,IF(OR(J46&lt;'FNC-ORD_prospetto riassuntivo'!$B$21+'FNC-ORD_prospetto riassuntivo'!$B$24,J46='FNC-ORD_prospetto riassuntivo'!$B$21+'FNC-ORD_prospetto riassuntivo'!$B$24),1,0))</f>
        <v>1</v>
      </c>
    </row>
    <row r="47" spans="10:17" x14ac:dyDescent="0.25">
      <c r="J47" s="84">
        <f>IF(J46=0,0,IF('FNC-ORD_prospetto riassuntivo'!$B$21+'FNC-ORD_prospetto riassuntivo'!$B$24&gt;J46,J46+1,0))</f>
        <v>45</v>
      </c>
      <c r="K47" s="85">
        <f>O46*'FNC-ORD_prospetto riassuntivo'!$B$26*Q47</f>
        <v>58.997711565894924</v>
      </c>
      <c r="L47" s="85">
        <f t="shared" si="4"/>
        <v>516.19445410490414</v>
      </c>
      <c r="M47" s="85">
        <f t="shared" si="5"/>
        <v>575.19216567079911</v>
      </c>
      <c r="N47" s="86">
        <f t="shared" si="6"/>
        <v>22197.292902475339</v>
      </c>
      <c r="O47" s="85">
        <f>('FNC-ORD_prospetto riassuntivo'!$B$10-N47)*Q47</f>
        <v>27802.707097524661</v>
      </c>
      <c r="P47" s="85">
        <f>K47/(1+SUM('FNC-ORD_prospetto riassuntivo'!$B$27:$B$28)/'FNC-ORD_prospetto riassuntivo'!$B$22)^J47</f>
        <v>48.729300547143474</v>
      </c>
      <c r="Q47">
        <f>IF(J47=0,0,IF(OR(J47&lt;'FNC-ORD_prospetto riassuntivo'!$B$21+'FNC-ORD_prospetto riassuntivo'!$B$24,J47='FNC-ORD_prospetto riassuntivo'!$B$21+'FNC-ORD_prospetto riassuntivo'!$B$24),1,0))</f>
        <v>1</v>
      </c>
    </row>
    <row r="48" spans="10:17" x14ac:dyDescent="0.25">
      <c r="J48" s="84">
        <f>IF(J47=0,0,IF('FNC-ORD_prospetto riassuntivo'!$B$21+'FNC-ORD_prospetto riassuntivo'!$B$24&gt;J47,J47+1,0))</f>
        <v>46</v>
      </c>
      <c r="K48" s="85">
        <f>O47*'FNC-ORD_prospetto riassuntivo'!$B$26*Q48</f>
        <v>57.922306453176375</v>
      </c>
      <c r="L48" s="85">
        <f t="shared" si="4"/>
        <v>517.26985921762275</v>
      </c>
      <c r="M48" s="85">
        <f t="shared" si="5"/>
        <v>575.19216567079911</v>
      </c>
      <c r="N48" s="86">
        <f t="shared" si="6"/>
        <v>22714.562761692963</v>
      </c>
      <c r="O48" s="85">
        <f>('FNC-ORD_prospetto riassuntivo'!$B$10-N48)*Q48</f>
        <v>27285.437238307037</v>
      </c>
      <c r="P48" s="85">
        <f>K48/(1+SUM('FNC-ORD_prospetto riassuntivo'!$B$27:$B$28)/'FNC-ORD_prospetto riassuntivo'!$B$22)^J48</f>
        <v>47.638207761950817</v>
      </c>
      <c r="Q48">
        <f>IF(J48=0,0,IF(OR(J48&lt;'FNC-ORD_prospetto riassuntivo'!$B$21+'FNC-ORD_prospetto riassuntivo'!$B$24,J48='FNC-ORD_prospetto riassuntivo'!$B$21+'FNC-ORD_prospetto riassuntivo'!$B$24),1,0))</f>
        <v>1</v>
      </c>
    </row>
    <row r="49" spans="10:17" x14ac:dyDescent="0.25">
      <c r="J49" s="84">
        <f>IF(J48=0,0,IF('FNC-ORD_prospetto riassuntivo'!$B$21+'FNC-ORD_prospetto riassuntivo'!$B$24&gt;J48,J48+1,0))</f>
        <v>47</v>
      </c>
      <c r="K49" s="85">
        <f>O48*'FNC-ORD_prospetto riassuntivo'!$B$26*Q49</f>
        <v>56.844660913139656</v>
      </c>
      <c r="L49" s="85">
        <f t="shared" si="4"/>
        <v>518.34750475765941</v>
      </c>
      <c r="M49" s="85">
        <f t="shared" si="5"/>
        <v>575.19216567079911</v>
      </c>
      <c r="N49" s="86">
        <f t="shared" si="6"/>
        <v>23232.910266450621</v>
      </c>
      <c r="O49" s="85">
        <f>('FNC-ORD_prospetto riassuntivo'!$B$10-N49)*Q49</f>
        <v>26767.089733549379</v>
      </c>
      <c r="P49" s="85">
        <f>K49/(1+SUM('FNC-ORD_prospetto riassuntivo'!$B$27:$B$28)/'FNC-ORD_prospetto riassuntivo'!$B$22)^J49</f>
        <v>46.553657070976129</v>
      </c>
      <c r="Q49">
        <f>IF(J49=0,0,IF(OR(J49&lt;'FNC-ORD_prospetto riassuntivo'!$B$21+'FNC-ORD_prospetto riassuntivo'!$B$24,J49='FNC-ORD_prospetto riassuntivo'!$B$21+'FNC-ORD_prospetto riassuntivo'!$B$24),1,0))</f>
        <v>1</v>
      </c>
    </row>
    <row r="50" spans="10:17" x14ac:dyDescent="0.25">
      <c r="J50" s="84">
        <f>IF(J49=0,0,IF('FNC-ORD_prospetto riassuntivo'!$B$21+'FNC-ORD_prospetto riassuntivo'!$B$24&gt;J49,J49+1,0))</f>
        <v>48</v>
      </c>
      <c r="K50" s="85">
        <f>O49*'FNC-ORD_prospetto riassuntivo'!$B$26*Q50</f>
        <v>55.764770278227871</v>
      </c>
      <c r="L50" s="85">
        <f t="shared" si="4"/>
        <v>519.42739539257127</v>
      </c>
      <c r="M50" s="85">
        <f t="shared" si="5"/>
        <v>575.19216567079911</v>
      </c>
      <c r="N50" s="86">
        <f t="shared" si="6"/>
        <v>23752.337661843194</v>
      </c>
      <c r="O50" s="85">
        <f>('FNC-ORD_prospetto riassuntivo'!$B$10-N50)*Q50</f>
        <v>26247.662338156806</v>
      </c>
      <c r="P50" s="85">
        <f>K50/(1+SUM('FNC-ORD_prospetto riassuntivo'!$B$27:$B$28)/'FNC-ORD_prospetto riassuntivo'!$B$22)^J50</f>
        <v>45.475616585255054</v>
      </c>
      <c r="Q50">
        <f>IF(J50=0,0,IF(OR(J50&lt;'FNC-ORD_prospetto riassuntivo'!$B$21+'FNC-ORD_prospetto riassuntivo'!$B$24,J50='FNC-ORD_prospetto riassuntivo'!$B$21+'FNC-ORD_prospetto riassuntivo'!$B$24),1,0))</f>
        <v>1</v>
      </c>
    </row>
    <row r="51" spans="10:17" x14ac:dyDescent="0.25">
      <c r="J51" s="84">
        <f>IF(J50=0,0,IF('FNC-ORD_prospetto riassuntivo'!$B$21+'FNC-ORD_prospetto riassuntivo'!$B$24&gt;J50,J50+1,0))</f>
        <v>49</v>
      </c>
      <c r="K51" s="85">
        <f>O50*'FNC-ORD_prospetto riassuntivo'!$B$26*Q51</f>
        <v>54.68262987116001</v>
      </c>
      <c r="L51" s="85">
        <f t="shared" si="4"/>
        <v>520.50953579963914</v>
      </c>
      <c r="M51" s="85">
        <f t="shared" si="5"/>
        <v>575.19216567079911</v>
      </c>
      <c r="N51" s="86">
        <f t="shared" si="6"/>
        <v>24272.847197642834</v>
      </c>
      <c r="O51" s="85">
        <f>('FNC-ORD_prospetto riassuntivo'!$B$10-N51)*Q51</f>
        <v>25727.152802357166</v>
      </c>
      <c r="P51" s="85">
        <f>K51/(1+SUM('FNC-ORD_prospetto riassuntivo'!$B$27:$B$28)/'FNC-ORD_prospetto riassuntivo'!$B$22)^J51</f>
        <v>44.404054560026367</v>
      </c>
      <c r="Q51">
        <f>IF(J51=0,0,IF(OR(J51&lt;'FNC-ORD_prospetto riassuntivo'!$B$21+'FNC-ORD_prospetto riassuntivo'!$B$24,J51='FNC-ORD_prospetto riassuntivo'!$B$21+'FNC-ORD_prospetto riassuntivo'!$B$24),1,0))</f>
        <v>1</v>
      </c>
    </row>
    <row r="52" spans="10:17" x14ac:dyDescent="0.25">
      <c r="J52" s="84">
        <f>IF(J51=0,0,IF('FNC-ORD_prospetto riassuntivo'!$B$21+'FNC-ORD_prospetto riassuntivo'!$B$24&gt;J51,J51+1,0))</f>
        <v>50</v>
      </c>
      <c r="K52" s="85">
        <f>O51*'FNC-ORD_prospetto riassuntivo'!$B$26*Q52</f>
        <v>53.598235004910762</v>
      </c>
      <c r="L52" s="85">
        <f t="shared" si="4"/>
        <v>521.59393066588837</v>
      </c>
      <c r="M52" s="85">
        <f t="shared" si="5"/>
        <v>575.19216567079911</v>
      </c>
      <c r="N52" s="86">
        <f t="shared" si="6"/>
        <v>24794.441128308721</v>
      </c>
      <c r="O52" s="85">
        <f>('FNC-ORD_prospetto riassuntivo'!$B$10-N52)*Q52</f>
        <v>25205.558871691279</v>
      </c>
      <c r="P52" s="85">
        <f>K52/(1+SUM('FNC-ORD_prospetto riassuntivo'!$B$27:$B$28)/'FNC-ORD_prospetto riassuntivo'!$B$22)^J52</f>
        <v>43.338939394101075</v>
      </c>
      <c r="Q52">
        <f>IF(J52=0,0,IF(OR(J52&lt;'FNC-ORD_prospetto riassuntivo'!$B$21+'FNC-ORD_prospetto riassuntivo'!$B$24,J52='FNC-ORD_prospetto riassuntivo'!$B$21+'FNC-ORD_prospetto riassuntivo'!$B$24),1,0))</f>
        <v>1</v>
      </c>
    </row>
    <row r="53" spans="10:17" x14ac:dyDescent="0.25">
      <c r="J53" s="84">
        <f>IF(J52=0,0,IF('FNC-ORD_prospetto riassuntivo'!$B$21+'FNC-ORD_prospetto riassuntivo'!$B$24&gt;J52,J52+1,0))</f>
        <v>51</v>
      </c>
      <c r="K53" s="85">
        <f>O52*'FNC-ORD_prospetto riassuntivo'!$B$26*Q53</f>
        <v>52.511580982690163</v>
      </c>
      <c r="L53" s="85">
        <f t="shared" si="4"/>
        <v>522.68058468810898</v>
      </c>
      <c r="M53" s="85">
        <f t="shared" si="5"/>
        <v>575.19216567079911</v>
      </c>
      <c r="N53" s="86">
        <f t="shared" si="6"/>
        <v>25317.121712996832</v>
      </c>
      <c r="O53" s="85">
        <f>('FNC-ORD_prospetto riassuntivo'!$B$10-N53)*Q53</f>
        <v>24682.878287003168</v>
      </c>
      <c r="P53" s="85">
        <f>K53/(1+SUM('FNC-ORD_prospetto riassuntivo'!$B$27:$B$28)/'FNC-ORD_prospetto riassuntivo'!$B$22)^J53</f>
        <v>42.280239629234174</v>
      </c>
      <c r="Q53">
        <f>IF(J53=0,0,IF(OR(J53&lt;'FNC-ORD_prospetto riassuntivo'!$B$21+'FNC-ORD_prospetto riassuntivo'!$B$24,J53='FNC-ORD_prospetto riassuntivo'!$B$21+'FNC-ORD_prospetto riassuntivo'!$B$24),1,0))</f>
        <v>1</v>
      </c>
    </row>
    <row r="54" spans="10:17" x14ac:dyDescent="0.25">
      <c r="J54" s="84">
        <f>IF(J53=0,0,IF('FNC-ORD_prospetto riassuntivo'!$B$21+'FNC-ORD_prospetto riassuntivo'!$B$24&gt;J53,J53+1,0))</f>
        <v>52</v>
      </c>
      <c r="K54" s="85">
        <f>O53*'FNC-ORD_prospetto riassuntivo'!$B$26*Q54</f>
        <v>51.42266309792327</v>
      </c>
      <c r="L54" s="85">
        <f t="shared" si="4"/>
        <v>523.76950257287581</v>
      </c>
      <c r="M54" s="85">
        <f t="shared" si="5"/>
        <v>575.19216567079911</v>
      </c>
      <c r="N54" s="86">
        <f t="shared" si="6"/>
        <v>25840.891215569707</v>
      </c>
      <c r="O54" s="85">
        <f>('FNC-ORD_prospetto riassuntivo'!$B$10-N54)*Q54</f>
        <v>24159.108784430293</v>
      </c>
      <c r="P54" s="85">
        <f>K54/(1+SUM('FNC-ORD_prospetto riassuntivo'!$B$27:$B$28)/'FNC-ORD_prospetto riassuntivo'!$B$22)^J54</f>
        <v>41.2279239494992</v>
      </c>
      <c r="Q54">
        <f>IF(J54=0,0,IF(OR(J54&lt;'FNC-ORD_prospetto riassuntivo'!$B$21+'FNC-ORD_prospetto riassuntivo'!$B$24,J54='FNC-ORD_prospetto riassuntivo'!$B$21+'FNC-ORD_prospetto riassuntivo'!$B$24),1,0))</f>
        <v>1</v>
      </c>
    </row>
    <row r="55" spans="10:17" x14ac:dyDescent="0.25">
      <c r="J55" s="84">
        <f>IF(J54=0,0,IF('FNC-ORD_prospetto riassuntivo'!$B$21+'FNC-ORD_prospetto riassuntivo'!$B$24&gt;J54,J54+1,0))</f>
        <v>53</v>
      </c>
      <c r="K55" s="85">
        <f>O54*'FNC-ORD_prospetto riassuntivo'!$B$26*Q55</f>
        <v>50.331476634229773</v>
      </c>
      <c r="L55" s="85">
        <f t="shared" si="4"/>
        <v>524.86068903656928</v>
      </c>
      <c r="M55" s="85">
        <f t="shared" si="5"/>
        <v>575.19216567079911</v>
      </c>
      <c r="N55" s="86">
        <f t="shared" si="6"/>
        <v>26365.751904606277</v>
      </c>
      <c r="O55" s="85">
        <f>('FNC-ORD_prospetto riassuntivo'!$B$10-N55)*Q55</f>
        <v>23634.248095393723</v>
      </c>
      <c r="P55" s="85">
        <f>K55/(1+SUM('FNC-ORD_prospetto riassuntivo'!$B$27:$B$28)/'FNC-ORD_prospetto riassuntivo'!$B$22)^J55</f>
        <v>40.181961180665375</v>
      </c>
      <c r="Q55">
        <f>IF(J55=0,0,IF(OR(J55&lt;'FNC-ORD_prospetto riassuntivo'!$B$21+'FNC-ORD_prospetto riassuntivo'!$B$24,J55='FNC-ORD_prospetto riassuntivo'!$B$21+'FNC-ORD_prospetto riassuntivo'!$B$24),1,0))</f>
        <v>1</v>
      </c>
    </row>
    <row r="56" spans="10:17" x14ac:dyDescent="0.25">
      <c r="J56" s="84">
        <f>IF(J55=0,0,IF('FNC-ORD_prospetto riassuntivo'!$B$21+'FNC-ORD_prospetto riassuntivo'!$B$24&gt;J55,J55+1,0))</f>
        <v>54</v>
      </c>
      <c r="K56" s="85">
        <f>O55*'FNC-ORD_prospetto riassuntivo'!$B$26*Q56</f>
        <v>49.238016865403587</v>
      </c>
      <c r="L56" s="85">
        <f t="shared" si="4"/>
        <v>525.95414880539556</v>
      </c>
      <c r="M56" s="85">
        <f t="shared" si="5"/>
        <v>575.19216567079911</v>
      </c>
      <c r="N56" s="86">
        <f t="shared" si="6"/>
        <v>26891.706053411672</v>
      </c>
      <c r="O56" s="85">
        <f>('FNC-ORD_prospetto riassuntivo'!$B$10-N56)*Q56</f>
        <v>23108.293946588328</v>
      </c>
      <c r="P56" s="85">
        <f>K56/(1+SUM('FNC-ORD_prospetto riassuntivo'!$B$27:$B$28)/'FNC-ORD_prospetto riassuntivo'!$B$22)^J56</f>
        <v>39.142320289577576</v>
      </c>
      <c r="Q56">
        <f>IF(J56=0,0,IF(OR(J56&lt;'FNC-ORD_prospetto riassuntivo'!$B$21+'FNC-ORD_prospetto riassuntivo'!$B$24,J56='FNC-ORD_prospetto riassuntivo'!$B$21+'FNC-ORD_prospetto riassuntivo'!$B$24),1,0))</f>
        <v>1</v>
      </c>
    </row>
    <row r="57" spans="10:17" x14ac:dyDescent="0.25">
      <c r="J57" s="84">
        <f>IF(J56=0,0,IF('FNC-ORD_prospetto riassuntivo'!$B$21+'FNC-ORD_prospetto riassuntivo'!$B$24&gt;J56,J56+1,0))</f>
        <v>55</v>
      </c>
      <c r="K57" s="85">
        <f>O56*'FNC-ORD_prospetto riassuntivo'!$B$26*Q57</f>
        <v>48.142279055392351</v>
      </c>
      <c r="L57" s="85">
        <f t="shared" si="4"/>
        <v>527.04988661540676</v>
      </c>
      <c r="M57" s="85">
        <f t="shared" si="5"/>
        <v>575.19216567079911</v>
      </c>
      <c r="N57" s="86">
        <f t="shared" si="6"/>
        <v>27418.75594002708</v>
      </c>
      <c r="O57" s="85">
        <f>('FNC-ORD_prospetto riassuntivo'!$B$10-N57)*Q57</f>
        <v>22581.24405997292</v>
      </c>
      <c r="P57" s="85">
        <f>K57/(1+SUM('FNC-ORD_prospetto riassuntivo'!$B$27:$B$28)/'FNC-ORD_prospetto riassuntivo'!$B$22)^J57</f>
        <v>38.108970383538761</v>
      </c>
      <c r="Q57">
        <f>IF(J57=0,0,IF(OR(J57&lt;'FNC-ORD_prospetto riassuntivo'!$B$21+'FNC-ORD_prospetto riassuntivo'!$B$24,J57='FNC-ORD_prospetto riassuntivo'!$B$21+'FNC-ORD_prospetto riassuntivo'!$B$24),1,0))</f>
        <v>1</v>
      </c>
    </row>
    <row r="58" spans="10:17" x14ac:dyDescent="0.25">
      <c r="J58" s="84">
        <f>IF(J57=0,0,IF('FNC-ORD_prospetto riassuntivo'!$B$21+'FNC-ORD_prospetto riassuntivo'!$B$24&gt;J57,J57+1,0))</f>
        <v>56</v>
      </c>
      <c r="K58" s="85">
        <f>O57*'FNC-ORD_prospetto riassuntivo'!$B$26*Q58</f>
        <v>47.044258458276914</v>
      </c>
      <c r="L58" s="85">
        <f t="shared" si="4"/>
        <v>528.14790721252223</v>
      </c>
      <c r="M58" s="85">
        <f t="shared" si="5"/>
        <v>575.19216567079911</v>
      </c>
      <c r="N58" s="86">
        <f t="shared" si="6"/>
        <v>27946.903847239602</v>
      </c>
      <c r="O58" s="85">
        <f>('FNC-ORD_prospetto riassuntivo'!$B$10-N58)*Q58</f>
        <v>22053.096152760398</v>
      </c>
      <c r="P58" s="85">
        <f>K58/(1+SUM('FNC-ORD_prospetto riassuntivo'!$B$27:$B$28)/'FNC-ORD_prospetto riassuntivo'!$B$22)^J58</f>
        <v>37.08188070969527</v>
      </c>
      <c r="Q58">
        <f>IF(J58=0,0,IF(OR(J58&lt;'FNC-ORD_prospetto riassuntivo'!$B$21+'FNC-ORD_prospetto riassuntivo'!$B$24,J58='FNC-ORD_prospetto riassuntivo'!$B$21+'FNC-ORD_prospetto riassuntivo'!$B$24),1,0))</f>
        <v>1</v>
      </c>
    </row>
    <row r="59" spans="10:17" x14ac:dyDescent="0.25">
      <c r="J59" s="84">
        <f>IF(J58=0,0,IF('FNC-ORD_prospetto riassuntivo'!$B$21+'FNC-ORD_prospetto riassuntivo'!$B$24&gt;J58,J58+1,0))</f>
        <v>57</v>
      </c>
      <c r="K59" s="85">
        <f>O58*'FNC-ORD_prospetto riassuntivo'!$B$26*Q59</f>
        <v>45.943950318250828</v>
      </c>
      <c r="L59" s="85">
        <f t="shared" si="4"/>
        <v>529.2482153525483</v>
      </c>
      <c r="M59" s="85">
        <f t="shared" si="5"/>
        <v>575.19216567079911</v>
      </c>
      <c r="N59" s="86">
        <f t="shared" si="6"/>
        <v>28476.152062592151</v>
      </c>
      <c r="O59" s="85">
        <f>('FNC-ORD_prospetto riassuntivo'!$B$10-N59)*Q59</f>
        <v>21523.847937407849</v>
      </c>
      <c r="P59" s="85">
        <f>K59/(1+SUM('FNC-ORD_prospetto riassuntivo'!$B$27:$B$28)/'FNC-ORD_prospetto riassuntivo'!$B$22)^J59</f>
        <v>36.061020654424667</v>
      </c>
      <c r="Q59">
        <f>IF(J59=0,0,IF(OR(J59&lt;'FNC-ORD_prospetto riassuntivo'!$B$21+'FNC-ORD_prospetto riassuntivo'!$B$24,J59='FNC-ORD_prospetto riassuntivo'!$B$21+'FNC-ORD_prospetto riassuntivo'!$B$24),1,0))</f>
        <v>1</v>
      </c>
    </row>
    <row r="60" spans="10:17" x14ac:dyDescent="0.25">
      <c r="J60" s="84">
        <f>IF(J59=0,0,IF('FNC-ORD_prospetto riassuntivo'!$B$21+'FNC-ORD_prospetto riassuntivo'!$B$24&gt;J59,J59+1,0))</f>
        <v>58</v>
      </c>
      <c r="K60" s="85">
        <f>O59*'FNC-ORD_prospetto riassuntivo'!$B$26*Q60</f>
        <v>44.841349869599682</v>
      </c>
      <c r="L60" s="85">
        <f t="shared" si="4"/>
        <v>530.35081580119947</v>
      </c>
      <c r="M60" s="85">
        <f t="shared" si="5"/>
        <v>575.19216567079911</v>
      </c>
      <c r="N60" s="86">
        <f t="shared" si="6"/>
        <v>29006.502878393352</v>
      </c>
      <c r="O60" s="85">
        <f>('FNC-ORD_prospetto riassuntivo'!$B$10-N60)*Q60</f>
        <v>20993.497121606648</v>
      </c>
      <c r="P60" s="85">
        <f>K60/(1+SUM('FNC-ORD_prospetto riassuntivo'!$B$27:$B$28)/'FNC-ORD_prospetto riassuntivo'!$B$22)^J60</f>
        <v>35.046359742726189</v>
      </c>
      <c r="Q60">
        <f>IF(J60=0,0,IF(OR(J60&lt;'FNC-ORD_prospetto riassuntivo'!$B$21+'FNC-ORD_prospetto riassuntivo'!$B$24,J60='FNC-ORD_prospetto riassuntivo'!$B$21+'FNC-ORD_prospetto riassuntivo'!$B$24),1,0))</f>
        <v>1</v>
      </c>
    </row>
    <row r="61" spans="10:17" x14ac:dyDescent="0.25">
      <c r="J61" s="84">
        <f>IF(J60=0,0,IF('FNC-ORD_prospetto riassuntivo'!$B$21+'FNC-ORD_prospetto riassuntivo'!$B$24&gt;J60,J60+1,0))</f>
        <v>59</v>
      </c>
      <c r="K61" s="85">
        <f>O60*'FNC-ORD_prospetto riassuntivo'!$B$26*Q61</f>
        <v>43.736452336680514</v>
      </c>
      <c r="L61" s="85">
        <f t="shared" si="4"/>
        <v>531.45571333411863</v>
      </c>
      <c r="M61" s="85">
        <f t="shared" si="5"/>
        <v>575.19216567079911</v>
      </c>
      <c r="N61" s="86">
        <f t="shared" si="6"/>
        <v>29537.958591727471</v>
      </c>
      <c r="O61" s="85">
        <f>('FNC-ORD_prospetto riassuntivo'!$B$10-N61)*Q61</f>
        <v>20462.041408272529</v>
      </c>
      <c r="P61" s="85">
        <f>K61/(1+SUM('FNC-ORD_prospetto riassuntivo'!$B$27:$B$28)/'FNC-ORD_prospetto riassuntivo'!$B$22)^J61</f>
        <v>34.037867637613942</v>
      </c>
      <c r="Q61">
        <f>IF(J61=0,0,IF(OR(J61&lt;'FNC-ORD_prospetto riassuntivo'!$B$21+'FNC-ORD_prospetto riassuntivo'!$B$24,J61='FNC-ORD_prospetto riassuntivo'!$B$21+'FNC-ORD_prospetto riassuntivo'!$B$24),1,0))</f>
        <v>1</v>
      </c>
    </row>
    <row r="62" spans="10:17" x14ac:dyDescent="0.25">
      <c r="J62" s="84">
        <f>IF(J61=0,0,IF('FNC-ORD_prospetto riassuntivo'!$B$21+'FNC-ORD_prospetto riassuntivo'!$B$24&gt;J61,J61+1,0))</f>
        <v>60</v>
      </c>
      <c r="K62" s="85">
        <f>O61*'FNC-ORD_prospetto riassuntivo'!$B$26*Q62</f>
        <v>42.6292529339011</v>
      </c>
      <c r="L62" s="85">
        <f t="shared" si="4"/>
        <v>532.56291273689806</v>
      </c>
      <c r="M62" s="85">
        <f t="shared" si="5"/>
        <v>575.19216567079911</v>
      </c>
      <c r="N62" s="86">
        <f t="shared" si="6"/>
        <v>30070.52150446437</v>
      </c>
      <c r="O62" s="85">
        <f>('FNC-ORD_prospetto riassuntivo'!$B$10-N62)*Q62</f>
        <v>19929.47849553563</v>
      </c>
      <c r="P62" s="85">
        <f>K62/(1+SUM('FNC-ORD_prospetto riassuntivo'!$B$27:$B$28)/'FNC-ORD_prospetto riassuntivo'!$B$22)^J62</f>
        <v>33.035514139512593</v>
      </c>
      <c r="Q62">
        <f>IF(J62=0,0,IF(OR(J62&lt;'FNC-ORD_prospetto riassuntivo'!$B$21+'FNC-ORD_prospetto riassuntivo'!$B$24,J62='FNC-ORD_prospetto riassuntivo'!$B$21+'FNC-ORD_prospetto riassuntivo'!$B$24),1,0))</f>
        <v>1</v>
      </c>
    </row>
    <row r="63" spans="10:17" x14ac:dyDescent="0.25">
      <c r="J63" s="84">
        <f>IF(J62=0,0,IF('FNC-ORD_prospetto riassuntivo'!$B$21+'FNC-ORD_prospetto riassuntivo'!$B$24&gt;J62,J62+1,0))</f>
        <v>61</v>
      </c>
      <c r="K63" s="85">
        <f>O62*'FNC-ORD_prospetto riassuntivo'!$B$26*Q63</f>
        <v>41.519746865699226</v>
      </c>
      <c r="L63" s="85">
        <f t="shared" si="4"/>
        <v>533.67241880509994</v>
      </c>
      <c r="M63" s="85">
        <f t="shared" si="5"/>
        <v>575.19216567079911</v>
      </c>
      <c r="N63" s="86">
        <f t="shared" si="6"/>
        <v>30604.193923269471</v>
      </c>
      <c r="O63" s="85">
        <f>('FNC-ORD_prospetto riassuntivo'!$B$10-N63)*Q63</f>
        <v>19395.806076730529</v>
      </c>
      <c r="P63" s="85">
        <f>K63/(1+SUM('FNC-ORD_prospetto riassuntivo'!$B$27:$B$28)/'FNC-ORD_prospetto riassuntivo'!$B$22)^J63</f>
        <v>32.039269185655712</v>
      </c>
      <c r="Q63">
        <f>IF(J63=0,0,IF(OR(J63&lt;'FNC-ORD_prospetto riassuntivo'!$B$21+'FNC-ORD_prospetto riassuntivo'!$B$24,J63='FNC-ORD_prospetto riassuntivo'!$B$21+'FNC-ORD_prospetto riassuntivo'!$B$24),1,0))</f>
        <v>1</v>
      </c>
    </row>
    <row r="64" spans="10:17" x14ac:dyDescent="0.25">
      <c r="J64" s="84">
        <f>IF(J63=0,0,IF('FNC-ORD_prospetto riassuntivo'!$B$21+'FNC-ORD_prospetto riassuntivo'!$B$24&gt;J63,J63+1,0))</f>
        <v>62</v>
      </c>
      <c r="K64" s="85">
        <f>O63*'FNC-ORD_prospetto riassuntivo'!$B$26*Q64</f>
        <v>40.407929326521938</v>
      </c>
      <c r="L64" s="85">
        <f t="shared" si="4"/>
        <v>534.78423634427713</v>
      </c>
      <c r="M64" s="85">
        <f t="shared" si="5"/>
        <v>575.19216567079911</v>
      </c>
      <c r="N64" s="86">
        <f t="shared" si="6"/>
        <v>31138.978159613747</v>
      </c>
      <c r="O64" s="85">
        <f>('FNC-ORD_prospetto riassuntivo'!$B$10-N64)*Q64</f>
        <v>18861.021840386253</v>
      </c>
      <c r="P64" s="85">
        <f>K64/(1+SUM('FNC-ORD_prospetto riassuntivo'!$B$27:$B$28)/'FNC-ORD_prospetto riassuntivo'!$B$22)^J64</f>
        <v>31.049102849486697</v>
      </c>
      <c r="Q64">
        <f>IF(J64=0,0,IF(OR(J64&lt;'FNC-ORD_prospetto riassuntivo'!$B$21+'FNC-ORD_prospetto riassuntivo'!$B$24,J64='FNC-ORD_prospetto riassuntivo'!$B$21+'FNC-ORD_prospetto riassuntivo'!$B$24),1,0))</f>
        <v>1</v>
      </c>
    </row>
    <row r="65" spans="10:17" x14ac:dyDescent="0.25">
      <c r="J65" s="84">
        <f>IF(J64=0,0,IF('FNC-ORD_prospetto riassuntivo'!$B$21+'FNC-ORD_prospetto riassuntivo'!$B$24&gt;J64,J64+1,0))</f>
        <v>63</v>
      </c>
      <c r="K65" s="85">
        <f>O64*'FNC-ORD_prospetto riassuntivo'!$B$26*Q65</f>
        <v>39.293795500804691</v>
      </c>
      <c r="L65" s="85">
        <f t="shared" si="4"/>
        <v>535.89837016999445</v>
      </c>
      <c r="M65" s="85">
        <f t="shared" si="5"/>
        <v>575.19216567079911</v>
      </c>
      <c r="N65" s="86">
        <f t="shared" si="6"/>
        <v>31674.876529783742</v>
      </c>
      <c r="O65" s="85">
        <f>('FNC-ORD_prospetto riassuntivo'!$B$10-N65)*Q65</f>
        <v>18325.123470216258</v>
      </c>
      <c r="P65" s="85">
        <f>K65/(1+SUM('FNC-ORD_prospetto riassuntivo'!$B$27:$B$28)/'FNC-ORD_prospetto riassuntivo'!$B$22)^J65</f>
        <v>30.064985340062325</v>
      </c>
      <c r="Q65">
        <f>IF(J65=0,0,IF(OR(J65&lt;'FNC-ORD_prospetto riassuntivo'!$B$21+'FNC-ORD_prospetto riassuntivo'!$B$24,J65='FNC-ORD_prospetto riassuntivo'!$B$21+'FNC-ORD_prospetto riassuntivo'!$B$24),1,0))</f>
        <v>1</v>
      </c>
    </row>
    <row r="66" spans="10:17" x14ac:dyDescent="0.25">
      <c r="J66" s="84">
        <f>IF(J65=0,0,IF('FNC-ORD_prospetto riassuntivo'!$B$21+'FNC-ORD_prospetto riassuntivo'!$B$24&gt;J65,J65+1,0))</f>
        <v>64</v>
      </c>
      <c r="K66" s="85">
        <f>O65*'FNC-ORD_prospetto riassuntivo'!$B$26*Q66</f>
        <v>38.17734056295054</v>
      </c>
      <c r="L66" s="85">
        <f t="shared" si="4"/>
        <v>537.01482510784854</v>
      </c>
      <c r="M66" s="85">
        <f t="shared" si="5"/>
        <v>575.19216567079911</v>
      </c>
      <c r="N66" s="86">
        <f t="shared" si="6"/>
        <v>32211.891354891592</v>
      </c>
      <c r="O66" s="85">
        <f>('FNC-ORD_prospetto riassuntivo'!$B$10-N66)*Q66</f>
        <v>17788.108645108408</v>
      </c>
      <c r="P66" s="85">
        <f>K66/(1+SUM('FNC-ORD_prospetto riassuntivo'!$B$27:$B$28)/'FNC-ORD_prospetto riassuntivo'!$B$22)^J66</f>
        <v>29.086887001458788</v>
      </c>
      <c r="Q66">
        <f>IF(J66=0,0,IF(OR(J66&lt;'FNC-ORD_prospetto riassuntivo'!$B$21+'FNC-ORD_prospetto riassuntivo'!$B$24,J66='FNC-ORD_prospetto riassuntivo'!$B$21+'FNC-ORD_prospetto riassuntivo'!$B$24),1,0))</f>
        <v>1</v>
      </c>
    </row>
    <row r="67" spans="10:17" x14ac:dyDescent="0.25">
      <c r="J67" s="84">
        <f>IF(J66=0,0,IF('FNC-ORD_prospetto riassuntivo'!$B$21+'FNC-ORD_prospetto riassuntivo'!$B$24&gt;J66,J66+1,0))</f>
        <v>65</v>
      </c>
      <c r="K67" s="85">
        <f>O66*'FNC-ORD_prospetto riassuntivo'!$B$26*Q67</f>
        <v>37.058559677309184</v>
      </c>
      <c r="L67" s="85">
        <f t="shared" ref="L67:L98" si="7">M67-K67</f>
        <v>538.13360599348994</v>
      </c>
      <c r="M67" s="85">
        <f t="shared" si="5"/>
        <v>575.19216567079911</v>
      </c>
      <c r="N67" s="86">
        <f t="shared" si="6"/>
        <v>32750.024960885083</v>
      </c>
      <c r="O67" s="85">
        <f>('FNC-ORD_prospetto riassuntivo'!$B$10-N67)*Q67</f>
        <v>17249.975039114917</v>
      </c>
      <c r="P67" s="85">
        <f>K67/(1+SUM('FNC-ORD_prospetto riassuntivo'!$B$27:$B$28)/'FNC-ORD_prospetto riassuntivo'!$B$22)^J67</f>
        <v>28.11477831218037</v>
      </c>
      <c r="Q67">
        <f>IF(J67=0,0,IF(OR(J67&lt;'FNC-ORD_prospetto riassuntivo'!$B$21+'FNC-ORD_prospetto riassuntivo'!$B$24,J67='FNC-ORD_prospetto riassuntivo'!$B$21+'FNC-ORD_prospetto riassuntivo'!$B$24),1,0))</f>
        <v>1</v>
      </c>
    </row>
    <row r="68" spans="10:17" x14ac:dyDescent="0.25">
      <c r="J68" s="84">
        <f>IF(J67=0,0,IF('FNC-ORD_prospetto riassuntivo'!$B$21+'FNC-ORD_prospetto riassuntivo'!$B$24&gt;J67,J67+1,0))</f>
        <v>66</v>
      </c>
      <c r="K68" s="85">
        <f>O67*'FNC-ORD_prospetto riassuntivo'!$B$26*Q68</f>
        <v>35.937447998156074</v>
      </c>
      <c r="L68" s="85">
        <f t="shared" si="7"/>
        <v>539.25471767264298</v>
      </c>
      <c r="M68" s="85">
        <f t="shared" ref="M68:M98" si="8">$M$3*Q68</f>
        <v>575.19216567079911</v>
      </c>
      <c r="N68" s="86">
        <f t="shared" ref="N68:N98" si="9">(L68+N67)*Q68</f>
        <v>33289.279678557723</v>
      </c>
      <c r="O68" s="85">
        <f>('FNC-ORD_prospetto riassuntivo'!$B$10-N68)*Q68</f>
        <v>16710.720321442277</v>
      </c>
      <c r="P68" s="85">
        <f>K68/(1+SUM('FNC-ORD_prospetto riassuntivo'!$B$27:$B$28)/'FNC-ORD_prospetto riassuntivo'!$B$22)^J68</f>
        <v>27.148629884570639</v>
      </c>
      <c r="Q68">
        <f>IF(J68=0,0,IF(OR(J68&lt;'FNC-ORD_prospetto riassuntivo'!$B$21+'FNC-ORD_prospetto riassuntivo'!$B$24,J68='FNC-ORD_prospetto riassuntivo'!$B$21+'FNC-ORD_prospetto riassuntivo'!$B$24),1,0))</f>
        <v>1</v>
      </c>
    </row>
    <row r="69" spans="10:17" x14ac:dyDescent="0.25">
      <c r="J69" s="84">
        <f>IF(J68=0,0,IF('FNC-ORD_prospetto riassuntivo'!$B$21+'FNC-ORD_prospetto riassuntivo'!$B$24&gt;J68,J68+1,0))</f>
        <v>67</v>
      </c>
      <c r="K69" s="85">
        <f>O68*'FNC-ORD_prospetto riassuntivo'!$B$26*Q69</f>
        <v>34.814000669671408</v>
      </c>
      <c r="L69" s="85">
        <f t="shared" si="7"/>
        <v>540.37816500112774</v>
      </c>
      <c r="M69" s="85">
        <f t="shared" si="8"/>
        <v>575.19216567079911</v>
      </c>
      <c r="N69" s="86">
        <f t="shared" si="9"/>
        <v>33829.657843558853</v>
      </c>
      <c r="O69" s="85">
        <f>('FNC-ORD_prospetto riassuntivo'!$B$10-N69)*Q69</f>
        <v>16170.342156441147</v>
      </c>
      <c r="P69" s="85">
        <f>K69/(1+SUM('FNC-ORD_prospetto riassuntivo'!$B$27:$B$28)/'FNC-ORD_prospetto riassuntivo'!$B$22)^J69</f>
        <v>26.188412464226147</v>
      </c>
      <c r="Q69">
        <f>IF(J69=0,0,IF(OR(J69&lt;'FNC-ORD_prospetto riassuntivo'!$B$21+'FNC-ORD_prospetto riassuntivo'!$B$24,J69='FNC-ORD_prospetto riassuntivo'!$B$21+'FNC-ORD_prospetto riassuntivo'!$B$24),1,0))</f>
        <v>1</v>
      </c>
    </row>
    <row r="70" spans="10:17" x14ac:dyDescent="0.25">
      <c r="J70" s="84">
        <f>IF(J69=0,0,IF('FNC-ORD_prospetto riassuntivo'!$B$21+'FNC-ORD_prospetto riassuntivo'!$B$24&gt;J69,J69+1,0))</f>
        <v>68</v>
      </c>
      <c r="K70" s="85">
        <f>O69*'FNC-ORD_prospetto riassuntivo'!$B$26*Q70</f>
        <v>33.688212825919059</v>
      </c>
      <c r="L70" s="85">
        <f t="shared" si="7"/>
        <v>541.50395284488002</v>
      </c>
      <c r="M70" s="85">
        <f t="shared" si="8"/>
        <v>575.19216567079911</v>
      </c>
      <c r="N70" s="86">
        <f t="shared" si="9"/>
        <v>34371.161796403736</v>
      </c>
      <c r="O70" s="85">
        <f>('FNC-ORD_prospetto riassuntivo'!$B$10-N70)*Q70</f>
        <v>15628.838203596264</v>
      </c>
      <c r="P70" s="85">
        <f>K70/(1+SUM('FNC-ORD_prospetto riassuntivo'!$B$27:$B$28)/'FNC-ORD_prospetto riassuntivo'!$B$22)^J70</f>
        <v>25.234096929412711</v>
      </c>
      <c r="Q70">
        <f>IF(J70=0,0,IF(OR(J70&lt;'FNC-ORD_prospetto riassuntivo'!$B$21+'FNC-ORD_prospetto riassuntivo'!$B$24,J70='FNC-ORD_prospetto riassuntivo'!$B$21+'FNC-ORD_prospetto riassuntivo'!$B$24),1,0))</f>
        <v>1</v>
      </c>
    </row>
    <row r="71" spans="10:17" x14ac:dyDescent="0.25">
      <c r="J71" s="84">
        <f>IF(J70=0,0,IF('FNC-ORD_prospetto riassuntivo'!$B$21+'FNC-ORD_prospetto riassuntivo'!$B$24&gt;J70,J70+1,0))</f>
        <v>69</v>
      </c>
      <c r="K71" s="85">
        <f>O70*'FNC-ORD_prospetto riassuntivo'!$B$26*Q71</f>
        <v>32.560079590825552</v>
      </c>
      <c r="L71" s="85">
        <f t="shared" si="7"/>
        <v>542.63208607997353</v>
      </c>
      <c r="M71" s="85">
        <f t="shared" si="8"/>
        <v>575.19216567079911</v>
      </c>
      <c r="N71" s="86">
        <f t="shared" si="9"/>
        <v>34913.793882483711</v>
      </c>
      <c r="O71" s="85">
        <f>('FNC-ORD_prospetto riassuntivo'!$B$10-N71)*Q71</f>
        <v>15086.206117516289</v>
      </c>
      <c r="P71" s="85">
        <f>K71/(1+SUM('FNC-ORD_prospetto riassuntivo'!$B$27:$B$28)/'FNC-ORD_prospetto riassuntivo'!$B$22)^J71</f>
        <v>24.285654290484164</v>
      </c>
      <c r="Q71">
        <f>IF(J71=0,0,IF(OR(J71&lt;'FNC-ORD_prospetto riassuntivo'!$B$21+'FNC-ORD_prospetto riassuntivo'!$B$24,J71='FNC-ORD_prospetto riassuntivo'!$B$21+'FNC-ORD_prospetto riassuntivo'!$B$24),1,0))</f>
        <v>1</v>
      </c>
    </row>
    <row r="72" spans="10:17" x14ac:dyDescent="0.25">
      <c r="J72" s="84">
        <f>IF(J71=0,0,IF('FNC-ORD_prospetto riassuntivo'!$B$21+'FNC-ORD_prospetto riassuntivo'!$B$24&gt;J71,J71+1,0))</f>
        <v>70</v>
      </c>
      <c r="K72" s="85">
        <f>O71*'FNC-ORD_prospetto riassuntivo'!$B$26*Q72</f>
        <v>31.429596078158934</v>
      </c>
      <c r="L72" s="85">
        <f t="shared" si="7"/>
        <v>543.76256959264015</v>
      </c>
      <c r="M72" s="85">
        <f t="shared" si="8"/>
        <v>575.19216567079911</v>
      </c>
      <c r="N72" s="86">
        <f t="shared" si="9"/>
        <v>35457.556452076351</v>
      </c>
      <c r="O72" s="85">
        <f>('FNC-ORD_prospetto riassuntivo'!$B$10-N72)*Q72</f>
        <v>14542.443547923649</v>
      </c>
      <c r="P72" s="85">
        <f>K72/(1+SUM('FNC-ORD_prospetto riassuntivo'!$B$27:$B$28)/'FNC-ORD_prospetto riassuntivo'!$B$22)^J72</f>
        <v>23.343055689303668</v>
      </c>
      <c r="Q72">
        <f>IF(J72=0,0,IF(OR(J72&lt;'FNC-ORD_prospetto riassuntivo'!$B$21+'FNC-ORD_prospetto riassuntivo'!$B$24,J72='FNC-ORD_prospetto riassuntivo'!$B$21+'FNC-ORD_prospetto riassuntivo'!$B$24),1,0))</f>
        <v>1</v>
      </c>
    </row>
    <row r="73" spans="10:17" x14ac:dyDescent="0.25">
      <c r="J73" s="84">
        <f>IF(J72=0,0,IF('FNC-ORD_prospetto riassuntivo'!$B$21+'FNC-ORD_prospetto riassuntivo'!$B$24&gt;J72,J72+1,0))</f>
        <v>71</v>
      </c>
      <c r="K73" s="85">
        <f>O72*'FNC-ORD_prospetto riassuntivo'!$B$26*Q73</f>
        <v>30.296757391507601</v>
      </c>
      <c r="L73" s="85">
        <f t="shared" si="7"/>
        <v>544.89540827929147</v>
      </c>
      <c r="M73" s="85">
        <f t="shared" si="8"/>
        <v>575.19216567079911</v>
      </c>
      <c r="N73" s="86">
        <f t="shared" si="9"/>
        <v>36002.451860355643</v>
      </c>
      <c r="O73" s="85">
        <f>('FNC-ORD_prospetto riassuntivo'!$B$10-N73)*Q73</f>
        <v>13997.548139644357</v>
      </c>
      <c r="P73" s="85">
        <f>K73/(1+SUM('FNC-ORD_prospetto riassuntivo'!$B$27:$B$28)/'FNC-ORD_prospetto riassuntivo'!$B$22)^J73</f>
        <v>22.406272398667447</v>
      </c>
      <c r="Q73">
        <f>IF(J73=0,0,IF(OR(J73&lt;'FNC-ORD_prospetto riassuntivo'!$B$21+'FNC-ORD_prospetto riassuntivo'!$B$24,J73='FNC-ORD_prospetto riassuntivo'!$B$21+'FNC-ORD_prospetto riassuntivo'!$B$24),1,0))</f>
        <v>1</v>
      </c>
    </row>
    <row r="74" spans="10:17" x14ac:dyDescent="0.25">
      <c r="J74" s="84">
        <f>IF(J73=0,0,IF('FNC-ORD_prospetto riassuntivo'!$B$21+'FNC-ORD_prospetto riassuntivo'!$B$24&gt;J73,J73+1,0))</f>
        <v>72</v>
      </c>
      <c r="K74" s="85">
        <f>O73*'FNC-ORD_prospetto riassuntivo'!$B$26*Q74</f>
        <v>29.161558624259076</v>
      </c>
      <c r="L74" s="85">
        <f t="shared" si="7"/>
        <v>546.03060704654001</v>
      </c>
      <c r="M74" s="85">
        <f t="shared" si="8"/>
        <v>575.19216567079911</v>
      </c>
      <c r="N74" s="86">
        <f t="shared" si="9"/>
        <v>36548.48246740218</v>
      </c>
      <c r="O74" s="85">
        <f>('FNC-ORD_prospetto riassuntivo'!$B$10-N74)*Q74</f>
        <v>13451.51753259782</v>
      </c>
      <c r="P74" s="85">
        <f>K74/(1+SUM('FNC-ORD_prospetto riassuntivo'!$B$27:$B$28)/'FNC-ORD_prospetto riassuntivo'!$B$22)^J74</f>
        <v>21.475275821731049</v>
      </c>
      <c r="Q74">
        <f>IF(J74=0,0,IF(OR(J74&lt;'FNC-ORD_prospetto riassuntivo'!$B$21+'FNC-ORD_prospetto riassuntivo'!$B$24,J74='FNC-ORD_prospetto riassuntivo'!$B$21+'FNC-ORD_prospetto riassuntivo'!$B$24),1,0))</f>
        <v>1</v>
      </c>
    </row>
    <row r="75" spans="10:17" x14ac:dyDescent="0.25">
      <c r="J75" s="84">
        <f>IF(J74=0,0,IF('FNC-ORD_prospetto riassuntivo'!$B$21+'FNC-ORD_prospetto riassuntivo'!$B$24&gt;J74,J74+1,0))</f>
        <v>73</v>
      </c>
      <c r="K75" s="85">
        <f>O74*'FNC-ORD_prospetto riassuntivo'!$B$26*Q75</f>
        <v>28.023994859578792</v>
      </c>
      <c r="L75" s="85">
        <f t="shared" si="7"/>
        <v>547.16817081122031</v>
      </c>
      <c r="M75" s="85">
        <f t="shared" si="8"/>
        <v>575.19216567079911</v>
      </c>
      <c r="N75" s="86">
        <f t="shared" si="9"/>
        <v>37095.650638213403</v>
      </c>
      <c r="O75" s="85">
        <f>('FNC-ORD_prospetto riassuntivo'!$B$10-N75)*Q75</f>
        <v>12904.349361786597</v>
      </c>
      <c r="P75" s="85">
        <f>K75/(1+SUM('FNC-ORD_prospetto riassuntivo'!$B$27:$B$28)/'FNC-ORD_prospetto riassuntivo'!$B$22)^J75</f>
        <v>20.550037491438097</v>
      </c>
      <c r="Q75">
        <f>IF(J75=0,0,IF(OR(J75&lt;'FNC-ORD_prospetto riassuntivo'!$B$21+'FNC-ORD_prospetto riassuntivo'!$B$24,J75='FNC-ORD_prospetto riassuntivo'!$B$21+'FNC-ORD_prospetto riassuntivo'!$B$24),1,0))</f>
        <v>1</v>
      </c>
    </row>
    <row r="76" spans="10:17" x14ac:dyDescent="0.25">
      <c r="J76" s="84">
        <f>IF(J75=0,0,IF('FNC-ORD_prospetto riassuntivo'!$B$21+'FNC-ORD_prospetto riassuntivo'!$B$24&gt;J75,J75+1,0))</f>
        <v>74</v>
      </c>
      <c r="K76" s="85">
        <f>O75*'FNC-ORD_prospetto riassuntivo'!$B$26*Q76</f>
        <v>26.884061170388744</v>
      </c>
      <c r="L76" s="85">
        <f t="shared" si="7"/>
        <v>548.30810450041042</v>
      </c>
      <c r="M76" s="85">
        <f t="shared" si="8"/>
        <v>575.19216567079911</v>
      </c>
      <c r="N76" s="86">
        <f t="shared" si="9"/>
        <v>37643.95874271381</v>
      </c>
      <c r="O76" s="85">
        <f>('FNC-ORD_prospetto riassuntivo'!$B$10-N76)*Q76</f>
        <v>12356.04125728619</v>
      </c>
      <c r="P76" s="85">
        <f>K76/(1+SUM('FNC-ORD_prospetto riassuntivo'!$B$27:$B$28)/'FNC-ORD_prospetto riassuntivo'!$B$22)^J76</f>
        <v>19.630529069951422</v>
      </c>
      <c r="Q76">
        <f>IF(J76=0,0,IF(OR(J76&lt;'FNC-ORD_prospetto riassuntivo'!$B$21+'FNC-ORD_prospetto riassuntivo'!$B$24,J76='FNC-ORD_prospetto riassuntivo'!$B$21+'FNC-ORD_prospetto riassuntivo'!$B$24),1,0))</f>
        <v>1</v>
      </c>
    </row>
    <row r="77" spans="10:17" x14ac:dyDescent="0.25">
      <c r="J77" s="84">
        <f>IF(J76=0,0,IF('FNC-ORD_prospetto riassuntivo'!$B$21+'FNC-ORD_prospetto riassuntivo'!$B$24&gt;J76,J76+1,0))</f>
        <v>75</v>
      </c>
      <c r="K77" s="85">
        <f>O76*'FNC-ORD_prospetto riassuntivo'!$B$26*Q77</f>
        <v>25.741752619346229</v>
      </c>
      <c r="L77" s="85">
        <f t="shared" si="7"/>
        <v>549.45041305145287</v>
      </c>
      <c r="M77" s="85">
        <f t="shared" si="8"/>
        <v>575.19216567079911</v>
      </c>
      <c r="N77" s="86">
        <f t="shared" si="9"/>
        <v>38193.409155765265</v>
      </c>
      <c r="O77" s="85">
        <f>('FNC-ORD_prospetto riassuntivo'!$B$10-N77)*Q77</f>
        <v>11806.590844234735</v>
      </c>
      <c r="P77" s="85">
        <f>K77/(1+SUM('FNC-ORD_prospetto riassuntivo'!$B$27:$B$28)/'FNC-ORD_prospetto riassuntivo'!$B$22)^J77</f>
        <v>18.71672234808679</v>
      </c>
      <c r="Q77">
        <f>IF(J77=0,0,IF(OR(J77&lt;'FNC-ORD_prospetto riassuntivo'!$B$21+'FNC-ORD_prospetto riassuntivo'!$B$24,J77='FNC-ORD_prospetto riassuntivo'!$B$21+'FNC-ORD_prospetto riassuntivo'!$B$24),1,0))</f>
        <v>1</v>
      </c>
    </row>
    <row r="78" spans="10:17" x14ac:dyDescent="0.25">
      <c r="J78" s="84">
        <f>IF(J77=0,0,IF('FNC-ORD_prospetto riassuntivo'!$B$21+'FNC-ORD_prospetto riassuntivo'!$B$24&gt;J77,J77+1,0))</f>
        <v>76</v>
      </c>
      <c r="K78" s="85">
        <f>O77*'FNC-ORD_prospetto riassuntivo'!$B$26*Q78</f>
        <v>24.597064258822364</v>
      </c>
      <c r="L78" s="85">
        <f t="shared" si="7"/>
        <v>550.59510141197677</v>
      </c>
      <c r="M78" s="85">
        <f t="shared" si="8"/>
        <v>575.19216567079911</v>
      </c>
      <c r="N78" s="86">
        <f t="shared" si="9"/>
        <v>38744.004257177243</v>
      </c>
      <c r="O78" s="85">
        <f>('FNC-ORD_prospetto riassuntivo'!$B$10-N78)*Q78</f>
        <v>11255.995742822757</v>
      </c>
      <c r="P78" s="85">
        <f>K78/(1+SUM('FNC-ORD_prospetto riassuntivo'!$B$27:$B$28)/'FNC-ORD_prospetto riassuntivo'!$B$22)^J78</f>
        <v>17.808589244748898</v>
      </c>
      <c r="Q78">
        <f>IF(J78=0,0,IF(OR(J78&lt;'FNC-ORD_prospetto riassuntivo'!$B$21+'FNC-ORD_prospetto riassuntivo'!$B$24,J78='FNC-ORD_prospetto riassuntivo'!$B$21+'FNC-ORD_prospetto riassuntivo'!$B$24),1,0))</f>
        <v>1</v>
      </c>
    </row>
    <row r="79" spans="10:17" x14ac:dyDescent="0.25">
      <c r="J79" s="84">
        <f>IF(J78=0,0,IF('FNC-ORD_prospetto riassuntivo'!$B$21+'FNC-ORD_prospetto riassuntivo'!$B$24&gt;J78,J78+1,0))</f>
        <v>77</v>
      </c>
      <c r="K79" s="85">
        <f>O78*'FNC-ORD_prospetto riassuntivo'!$B$26*Q79</f>
        <v>23.449991130880743</v>
      </c>
      <c r="L79" s="85">
        <f t="shared" si="7"/>
        <v>551.74217453991832</v>
      </c>
      <c r="M79" s="85">
        <f t="shared" si="8"/>
        <v>575.19216567079911</v>
      </c>
      <c r="N79" s="86">
        <f t="shared" si="9"/>
        <v>39295.746431717162</v>
      </c>
      <c r="O79" s="85">
        <f>('FNC-ORD_prospetto riassuntivo'!$B$10-N79)*Q79</f>
        <v>10704.253568282838</v>
      </c>
      <c r="P79" s="85">
        <f>K79/(1+SUM('FNC-ORD_prospetto riassuntivo'!$B$27:$B$28)/'FNC-ORD_prospetto riassuntivo'!$B$22)^J79</f>
        <v>16.906101806369964</v>
      </c>
      <c r="Q79">
        <f>IF(J79=0,0,IF(OR(J79&lt;'FNC-ORD_prospetto riassuntivo'!$B$21+'FNC-ORD_prospetto riassuntivo'!$B$24,J79='FNC-ORD_prospetto riassuntivo'!$B$21+'FNC-ORD_prospetto riassuntivo'!$B$24),1,0))</f>
        <v>1</v>
      </c>
    </row>
    <row r="80" spans="10:17" x14ac:dyDescent="0.25">
      <c r="J80" s="84">
        <f>IF(J79=0,0,IF('FNC-ORD_prospetto riassuntivo'!$B$21+'FNC-ORD_prospetto riassuntivo'!$B$24&gt;J79,J79+1,0))</f>
        <v>78</v>
      </c>
      <c r="K80" s="85">
        <f>O79*'FNC-ORD_prospetto riassuntivo'!$B$26*Q80</f>
        <v>22.300528267255913</v>
      </c>
      <c r="L80" s="85">
        <f t="shared" si="7"/>
        <v>552.8916374035432</v>
      </c>
      <c r="M80" s="85">
        <f t="shared" si="8"/>
        <v>575.19216567079911</v>
      </c>
      <c r="N80" s="86">
        <f t="shared" si="9"/>
        <v>39848.638069120701</v>
      </c>
      <c r="O80" s="85">
        <f>('FNC-ORD_prospetto riassuntivo'!$B$10-N80)*Q80</f>
        <v>10151.361930879299</v>
      </c>
      <c r="P80" s="85">
        <f>K80/(1+SUM('FNC-ORD_prospetto riassuntivo'!$B$27:$B$28)/'FNC-ORD_prospetto riassuntivo'!$B$22)^J80</f>
        <v>16.0092322063506</v>
      </c>
      <c r="Q80">
        <f>IF(J80=0,0,IF(OR(J80&lt;'FNC-ORD_prospetto riassuntivo'!$B$21+'FNC-ORD_prospetto riassuntivo'!$B$24,J80='FNC-ORD_prospetto riassuntivo'!$B$21+'FNC-ORD_prospetto riassuntivo'!$B$24),1,0))</f>
        <v>1</v>
      </c>
    </row>
    <row r="81" spans="10:17" x14ac:dyDescent="0.25">
      <c r="J81" s="84">
        <f>IF(J80=0,0,IF('FNC-ORD_prospetto riassuntivo'!$B$21+'FNC-ORD_prospetto riassuntivo'!$B$24&gt;J80,J80+1,0))</f>
        <v>79</v>
      </c>
      <c r="K81" s="85">
        <f>O80*'FNC-ORD_prospetto riassuntivo'!$B$26*Q81</f>
        <v>21.148670689331873</v>
      </c>
      <c r="L81" s="85">
        <f t="shared" si="7"/>
        <v>554.04349498146723</v>
      </c>
      <c r="M81" s="85">
        <f t="shared" si="8"/>
        <v>575.19216567079911</v>
      </c>
      <c r="N81" s="86">
        <f t="shared" si="9"/>
        <v>40402.681564102168</v>
      </c>
      <c r="O81" s="85">
        <f>('FNC-ORD_prospetto riassuntivo'!$B$10-N81)*Q81</f>
        <v>9597.3184358978324</v>
      </c>
      <c r="P81" s="85">
        <f>K81/(1+SUM('FNC-ORD_prospetto riassuntivo'!$B$27:$B$28)/'FNC-ORD_prospetto riassuntivo'!$B$22)^J81</f>
        <v>15.117952744503198</v>
      </c>
      <c r="Q81">
        <f>IF(J81=0,0,IF(OR(J81&lt;'FNC-ORD_prospetto riassuntivo'!$B$21+'FNC-ORD_prospetto riassuntivo'!$B$24,J81='FNC-ORD_prospetto riassuntivo'!$B$21+'FNC-ORD_prospetto riassuntivo'!$B$24),1,0))</f>
        <v>1</v>
      </c>
    </row>
    <row r="82" spans="10:17" x14ac:dyDescent="0.25">
      <c r="J82" s="84">
        <f>IF(J81=0,0,IF('FNC-ORD_prospetto riassuntivo'!$B$21+'FNC-ORD_prospetto riassuntivo'!$B$24&gt;J81,J81+1,0))</f>
        <v>80</v>
      </c>
      <c r="K82" s="85">
        <f>O81*'FNC-ORD_prospetto riassuntivo'!$B$26*Q82</f>
        <v>19.994413408120483</v>
      </c>
      <c r="L82" s="85">
        <f t="shared" si="7"/>
        <v>555.19775226267859</v>
      </c>
      <c r="M82" s="85">
        <f t="shared" si="8"/>
        <v>575.19216567079911</v>
      </c>
      <c r="N82" s="86">
        <f t="shared" si="9"/>
        <v>40957.879316364844</v>
      </c>
      <c r="O82" s="85">
        <f>('FNC-ORD_prospetto riassuntivo'!$B$10-N82)*Q82</f>
        <v>9042.1206836351557</v>
      </c>
      <c r="P82" s="85">
        <f>K82/(1+SUM('FNC-ORD_prospetto riassuntivo'!$B$27:$B$28)/'FNC-ORD_prospetto riassuntivo'!$B$22)^J82</f>
        <v>14.232235846497634</v>
      </c>
      <c r="Q82">
        <f>IF(J82=0,0,IF(OR(J82&lt;'FNC-ORD_prospetto riassuntivo'!$B$21+'FNC-ORD_prospetto riassuntivo'!$B$24,J82='FNC-ORD_prospetto riassuntivo'!$B$21+'FNC-ORD_prospetto riassuntivo'!$B$24),1,0))</f>
        <v>1</v>
      </c>
    </row>
    <row r="83" spans="10:17" x14ac:dyDescent="0.25">
      <c r="J83" s="84">
        <f>IF(J82=0,0,IF('FNC-ORD_prospetto riassuntivo'!$B$21+'FNC-ORD_prospetto riassuntivo'!$B$24&gt;J82,J82+1,0))</f>
        <v>81</v>
      </c>
      <c r="K83" s="85">
        <f>O82*'FNC-ORD_prospetto riassuntivo'!$B$26*Q83</f>
        <v>18.837751424239908</v>
      </c>
      <c r="L83" s="85">
        <f t="shared" si="7"/>
        <v>556.35441424655926</v>
      </c>
      <c r="M83" s="85">
        <f t="shared" si="8"/>
        <v>575.19216567079911</v>
      </c>
      <c r="N83" s="86">
        <f t="shared" si="9"/>
        <v>41514.233730611406</v>
      </c>
      <c r="O83" s="85">
        <f>('FNC-ORD_prospetto riassuntivo'!$B$10-N83)*Q83</f>
        <v>8485.7662693885941</v>
      </c>
      <c r="P83" s="85">
        <f>K83/(1+SUM('FNC-ORD_prospetto riassuntivo'!$B$27:$B$28)/'FNC-ORD_prospetto riassuntivo'!$B$22)^J83</f>
        <v>13.352054063309463</v>
      </c>
      <c r="Q83">
        <f>IF(J83=0,0,IF(OR(J83&lt;'FNC-ORD_prospetto riassuntivo'!$B$21+'FNC-ORD_prospetto riassuntivo'!$B$24,J83='FNC-ORD_prospetto riassuntivo'!$B$21+'FNC-ORD_prospetto riassuntivo'!$B$24),1,0))</f>
        <v>1</v>
      </c>
    </row>
    <row r="84" spans="10:17" x14ac:dyDescent="0.25">
      <c r="J84" s="84">
        <f>IF(J83=0,0,IF('FNC-ORD_prospetto riassuntivo'!$B$21+'FNC-ORD_prospetto riassuntivo'!$B$24&gt;J83,J83+1,0))</f>
        <v>82</v>
      </c>
      <c r="K84" s="85">
        <f>O83*'FNC-ORD_prospetto riassuntivo'!$B$26*Q84</f>
        <v>17.678679727892906</v>
      </c>
      <c r="L84" s="85">
        <f t="shared" si="7"/>
        <v>557.51348594290619</v>
      </c>
      <c r="M84" s="85">
        <f t="shared" si="8"/>
        <v>575.19216567079911</v>
      </c>
      <c r="N84" s="86">
        <f t="shared" si="9"/>
        <v>42071.747216554315</v>
      </c>
      <c r="O84" s="85">
        <f>('FNC-ORD_prospetto riassuntivo'!$B$10-N84)*Q84</f>
        <v>7928.2527834456851</v>
      </c>
      <c r="P84" s="85">
        <f>K84/(1+SUM('FNC-ORD_prospetto riassuntivo'!$B$27:$B$28)/'FNC-ORD_prospetto riassuntivo'!$B$22)^J84</f>
        <v>12.477380070670367</v>
      </c>
      <c r="Q84">
        <f>IF(J84=0,0,IF(OR(J84&lt;'FNC-ORD_prospetto riassuntivo'!$B$21+'FNC-ORD_prospetto riassuntivo'!$B$24,J84='FNC-ORD_prospetto riassuntivo'!$B$21+'FNC-ORD_prospetto riassuntivo'!$B$24),1,0))</f>
        <v>1</v>
      </c>
    </row>
    <row r="85" spans="10:17" x14ac:dyDescent="0.25">
      <c r="J85" s="84">
        <f>IF(J84=0,0,IF('FNC-ORD_prospetto riassuntivo'!$B$21+'FNC-ORD_prospetto riassuntivo'!$B$24&gt;J84,J84+1,0))</f>
        <v>83</v>
      </c>
      <c r="K85" s="85">
        <f>O84*'FNC-ORD_prospetto riassuntivo'!$B$26*Q85</f>
        <v>16.517193298845179</v>
      </c>
      <c r="L85" s="85">
        <f t="shared" si="7"/>
        <v>558.67497237195391</v>
      </c>
      <c r="M85" s="85">
        <f t="shared" si="8"/>
        <v>575.19216567079911</v>
      </c>
      <c r="N85" s="86">
        <f t="shared" si="9"/>
        <v>42630.42218892627</v>
      </c>
      <c r="O85" s="85">
        <f>('FNC-ORD_prospetto riassuntivo'!$B$10-N85)*Q85</f>
        <v>7369.5778110737301</v>
      </c>
      <c r="P85" s="85">
        <f>K85/(1+SUM('FNC-ORD_prospetto riassuntivo'!$B$27:$B$28)/'FNC-ORD_prospetto riassuntivo'!$B$22)^J85</f>
        <v>11.608186668521084</v>
      </c>
      <c r="Q85">
        <f>IF(J85=0,0,IF(OR(J85&lt;'FNC-ORD_prospetto riassuntivo'!$B$21+'FNC-ORD_prospetto riassuntivo'!$B$24,J85='FNC-ORD_prospetto riassuntivo'!$B$21+'FNC-ORD_prospetto riassuntivo'!$B$24),1,0))</f>
        <v>1</v>
      </c>
    </row>
    <row r="86" spans="10:17" x14ac:dyDescent="0.25">
      <c r="J86" s="84">
        <f>IF(J85=0,0,IF('FNC-ORD_prospetto riassuntivo'!$B$21+'FNC-ORD_prospetto riassuntivo'!$B$24&gt;J85,J85+1,0))</f>
        <v>84</v>
      </c>
      <c r="K86" s="85">
        <f>O85*'FNC-ORD_prospetto riassuntivo'!$B$26*Q86</f>
        <v>15.353287106403604</v>
      </c>
      <c r="L86" s="85">
        <f t="shared" si="7"/>
        <v>559.83887856439549</v>
      </c>
      <c r="M86" s="85">
        <f t="shared" si="8"/>
        <v>575.19216567079911</v>
      </c>
      <c r="N86" s="86">
        <f t="shared" si="9"/>
        <v>43190.261067490668</v>
      </c>
      <c r="O86" s="85">
        <f>('FNC-ORD_prospetto riassuntivo'!$B$10-N86)*Q86</f>
        <v>6809.7389325093318</v>
      </c>
      <c r="P86" s="85">
        <f>K86/(1+SUM('FNC-ORD_prospetto riassuntivo'!$B$27:$B$28)/'FNC-ORD_prospetto riassuntivo'!$B$22)^J86</f>
        <v>10.744446780466646</v>
      </c>
      <c r="Q86">
        <f>IF(J86=0,0,IF(OR(J86&lt;'FNC-ORD_prospetto riassuntivo'!$B$21+'FNC-ORD_prospetto riassuntivo'!$B$24,J86='FNC-ORD_prospetto riassuntivo'!$B$21+'FNC-ORD_prospetto riassuntivo'!$B$24),1,0))</f>
        <v>1</v>
      </c>
    </row>
    <row r="87" spans="10:17" x14ac:dyDescent="0.25">
      <c r="J87" s="84">
        <f>IF(J86=0,0,IF('FNC-ORD_prospetto riassuntivo'!$B$21+'FNC-ORD_prospetto riassuntivo'!$B$24&gt;J86,J86+1,0))</f>
        <v>85</v>
      </c>
      <c r="K87" s="85">
        <f>O86*'FNC-ORD_prospetto riassuntivo'!$B$26*Q87</f>
        <v>14.186956109394441</v>
      </c>
      <c r="L87" s="85">
        <f t="shared" si="7"/>
        <v>561.00520956140463</v>
      </c>
      <c r="M87" s="85">
        <f t="shared" si="8"/>
        <v>575.19216567079911</v>
      </c>
      <c r="N87" s="86">
        <f t="shared" si="9"/>
        <v>43751.266277052069</v>
      </c>
      <c r="O87" s="85">
        <f>('FNC-ORD_prospetto riassuntivo'!$B$10-N87)*Q87</f>
        <v>6248.7337229479308</v>
      </c>
      <c r="P87" s="85">
        <f>K87/(1+SUM('FNC-ORD_prospetto riassuntivo'!$B$27:$B$28)/'FNC-ORD_prospetto riassuntivo'!$B$22)^J87</f>
        <v>9.8861334532339331</v>
      </c>
      <c r="Q87">
        <f>IF(J87=0,0,IF(OR(J87&lt;'FNC-ORD_prospetto riassuntivo'!$B$21+'FNC-ORD_prospetto riassuntivo'!$B$24,J87='FNC-ORD_prospetto riassuntivo'!$B$21+'FNC-ORD_prospetto riassuntivo'!$B$24),1,0))</f>
        <v>1</v>
      </c>
    </row>
    <row r="88" spans="10:17" x14ac:dyDescent="0.25">
      <c r="J88" s="84">
        <f>IF(J87=0,0,IF('FNC-ORD_prospetto riassuntivo'!$B$21+'FNC-ORD_prospetto riassuntivo'!$B$24&gt;J87,J87+1,0))</f>
        <v>86</v>
      </c>
      <c r="K88" s="85">
        <f>O87*'FNC-ORD_prospetto riassuntivo'!$B$26*Q88</f>
        <v>13.018195256141523</v>
      </c>
      <c r="L88" s="85">
        <f t="shared" si="7"/>
        <v>562.17397041465756</v>
      </c>
      <c r="M88" s="85">
        <f t="shared" si="8"/>
        <v>575.19216567079911</v>
      </c>
      <c r="N88" s="86">
        <f t="shared" si="9"/>
        <v>44313.440247466729</v>
      </c>
      <c r="O88" s="85">
        <f>('FNC-ORD_prospetto riassuntivo'!$B$10-N88)*Q88</f>
        <v>5686.5597525332705</v>
      </c>
      <c r="P88" s="85">
        <f>K88/(1+SUM('FNC-ORD_prospetto riassuntivo'!$B$27:$B$28)/'FNC-ORD_prospetto riassuntivo'!$B$22)^J88</f>
        <v>9.0332198561316641</v>
      </c>
      <c r="Q88">
        <f>IF(J88=0,0,IF(OR(J88&lt;'FNC-ORD_prospetto riassuntivo'!$B$21+'FNC-ORD_prospetto riassuntivo'!$B$24,J88='FNC-ORD_prospetto riassuntivo'!$B$21+'FNC-ORD_prospetto riassuntivo'!$B$24),1,0))</f>
        <v>1</v>
      </c>
    </row>
    <row r="89" spans="10:17" x14ac:dyDescent="0.25">
      <c r="J89" s="84">
        <f>IF(J88=0,0,IF('FNC-ORD_prospetto riassuntivo'!$B$21+'FNC-ORD_prospetto riassuntivo'!$B$24&gt;J88,J88+1,0))</f>
        <v>87</v>
      </c>
      <c r="K89" s="85">
        <f>O88*'FNC-ORD_prospetto riassuntivo'!$B$26*Q89</f>
        <v>11.846999484444314</v>
      </c>
      <c r="L89" s="85">
        <f t="shared" si="7"/>
        <v>563.34516618635485</v>
      </c>
      <c r="M89" s="85">
        <f t="shared" si="8"/>
        <v>575.19216567079911</v>
      </c>
      <c r="N89" s="86">
        <f t="shared" si="9"/>
        <v>44876.785413653088</v>
      </c>
      <c r="O89" s="85">
        <f>('FNC-ORD_prospetto riassuntivo'!$B$10-N89)*Q89</f>
        <v>5123.2145863469123</v>
      </c>
      <c r="P89" s="85">
        <f>K89/(1+SUM('FNC-ORD_prospetto riassuntivo'!$B$27:$B$28)/'FNC-ORD_prospetto riassuntivo'!$B$22)^J89</f>
        <v>8.1856792805125878</v>
      </c>
      <c r="Q89">
        <f>IF(J89=0,0,IF(OR(J89&lt;'FNC-ORD_prospetto riassuntivo'!$B$21+'FNC-ORD_prospetto riassuntivo'!$B$24,J89='FNC-ORD_prospetto riassuntivo'!$B$21+'FNC-ORD_prospetto riassuntivo'!$B$24),1,0))</f>
        <v>1</v>
      </c>
    </row>
    <row r="90" spans="10:17" x14ac:dyDescent="0.25">
      <c r="J90" s="84">
        <f>IF(J89=0,0,IF('FNC-ORD_prospetto riassuntivo'!$B$21+'FNC-ORD_prospetto riassuntivo'!$B$24&gt;J89,J89+1,0))</f>
        <v>88</v>
      </c>
      <c r="K90" s="85">
        <f>O89*'FNC-ORD_prospetto riassuntivo'!$B$26*Q90</f>
        <v>10.673363721556067</v>
      </c>
      <c r="L90" s="85">
        <f t="shared" si="7"/>
        <v>564.51880194924308</v>
      </c>
      <c r="M90" s="85">
        <f t="shared" si="8"/>
        <v>575.19216567079911</v>
      </c>
      <c r="N90" s="86">
        <f t="shared" si="9"/>
        <v>45441.304215602329</v>
      </c>
      <c r="O90" s="85">
        <f>('FNC-ORD_prospetto riassuntivo'!$B$10-N90)*Q90</f>
        <v>4558.6957843976706</v>
      </c>
      <c r="P90" s="85">
        <f>K90/(1+SUM('FNC-ORD_prospetto riassuntivo'!$B$27:$B$28)/'FNC-ORD_prospetto riassuntivo'!$B$22)^J90</f>
        <v>7.3434851392381146</v>
      </c>
      <c r="Q90">
        <f>IF(J90=0,0,IF(OR(J90&lt;'FNC-ORD_prospetto riassuntivo'!$B$21+'FNC-ORD_prospetto riassuntivo'!$B$24,J90='FNC-ORD_prospetto riassuntivo'!$B$21+'FNC-ORD_prospetto riassuntivo'!$B$24),1,0))</f>
        <v>1</v>
      </c>
    </row>
    <row r="91" spans="10:17" x14ac:dyDescent="0.25">
      <c r="J91" s="84">
        <f>IF(J90=0,0,IF('FNC-ORD_prospetto riassuntivo'!$B$21+'FNC-ORD_prospetto riassuntivo'!$B$24&gt;J90,J90+1,0))</f>
        <v>89</v>
      </c>
      <c r="K91" s="85">
        <f>O90*'FNC-ORD_prospetto riassuntivo'!$B$26*Q91</f>
        <v>9.4972828841618142</v>
      </c>
      <c r="L91" s="85">
        <f t="shared" si="7"/>
        <v>565.69488278663732</v>
      </c>
      <c r="M91" s="85">
        <f t="shared" si="8"/>
        <v>575.19216567079911</v>
      </c>
      <c r="N91" s="86">
        <f t="shared" si="9"/>
        <v>46006.999098388966</v>
      </c>
      <c r="O91" s="85">
        <f>('FNC-ORD_prospetto riassuntivo'!$B$10-N91)*Q91</f>
        <v>3993.0009016110344</v>
      </c>
      <c r="P91" s="85">
        <f>K91/(1+SUM('FNC-ORD_prospetto riassuntivo'!$B$27:$B$28)/'FNC-ORD_prospetto riassuntivo'!$B$22)^J91</f>
        <v>6.5066109661452032</v>
      </c>
      <c r="Q91">
        <f>IF(J91=0,0,IF(OR(J91&lt;'FNC-ORD_prospetto riassuntivo'!$B$21+'FNC-ORD_prospetto riassuntivo'!$B$24,J91='FNC-ORD_prospetto riassuntivo'!$B$21+'FNC-ORD_prospetto riassuntivo'!$B$24),1,0))</f>
        <v>1</v>
      </c>
    </row>
    <row r="92" spans="10:17" x14ac:dyDescent="0.25">
      <c r="J92" s="84">
        <f>IF(J91=0,0,IF('FNC-ORD_prospetto riassuntivo'!$B$21+'FNC-ORD_prospetto riassuntivo'!$B$24&gt;J91,J91+1,0))</f>
        <v>90</v>
      </c>
      <c r="K92" s="85">
        <f>O91*'FNC-ORD_prospetto riassuntivo'!$B$26*Q92</f>
        <v>8.3187518783563217</v>
      </c>
      <c r="L92" s="85">
        <f t="shared" si="7"/>
        <v>566.87341379244276</v>
      </c>
      <c r="M92" s="85">
        <f t="shared" si="8"/>
        <v>575.19216567079911</v>
      </c>
      <c r="N92" s="86">
        <f t="shared" si="9"/>
        <v>46573.872512181406</v>
      </c>
      <c r="O92" s="85">
        <f>('FNC-ORD_prospetto riassuntivo'!$B$10-N92)*Q92</f>
        <v>3426.1274878185941</v>
      </c>
      <c r="P92" s="85">
        <f>K92/(1+SUM('FNC-ORD_prospetto riassuntivo'!$B$27:$B$28)/'FNC-ORD_prospetto riassuntivo'!$B$22)^J92</f>
        <v>5.6750304155154998</v>
      </c>
      <c r="Q92">
        <f>IF(J92=0,0,IF(OR(J92&lt;'FNC-ORD_prospetto riassuntivo'!$B$21+'FNC-ORD_prospetto riassuntivo'!$B$24,J92='FNC-ORD_prospetto riassuntivo'!$B$21+'FNC-ORD_prospetto riassuntivo'!$B$24),1,0))</f>
        <v>1</v>
      </c>
    </row>
    <row r="93" spans="10:17" x14ac:dyDescent="0.25">
      <c r="J93" s="84">
        <f>IF(J92=0,0,IF('FNC-ORD_prospetto riassuntivo'!$B$21+'FNC-ORD_prospetto riassuntivo'!$B$24&gt;J92,J92+1,0))</f>
        <v>91</v>
      </c>
      <c r="K93" s="85">
        <f>O92*'FNC-ORD_prospetto riassuntivo'!$B$26*Q93</f>
        <v>7.137765599622071</v>
      </c>
      <c r="L93" s="85">
        <f t="shared" si="7"/>
        <v>568.05440007117704</v>
      </c>
      <c r="M93" s="85">
        <f t="shared" si="8"/>
        <v>575.19216567079911</v>
      </c>
      <c r="N93" s="86">
        <f t="shared" si="9"/>
        <v>47141.92691225258</v>
      </c>
      <c r="O93" s="85">
        <f>('FNC-ORD_prospetto riassuntivo'!$B$10-N93)*Q93</f>
        <v>2858.0730877474198</v>
      </c>
      <c r="P93" s="85">
        <f>K93/(1+SUM('FNC-ORD_prospetto riassuntivo'!$B$27:$B$28)/'FNC-ORD_prospetto riassuntivo'!$B$22)^J93</f>
        <v>4.8487172615468648</v>
      </c>
      <c r="Q93">
        <f>IF(J93=0,0,IF(OR(J93&lt;'FNC-ORD_prospetto riassuntivo'!$B$21+'FNC-ORD_prospetto riassuntivo'!$B$24,J93='FNC-ORD_prospetto riassuntivo'!$B$21+'FNC-ORD_prospetto riassuntivo'!$B$24),1,0))</f>
        <v>1</v>
      </c>
    </row>
    <row r="94" spans="10:17" x14ac:dyDescent="0.25">
      <c r="J94" s="84">
        <f>IF(J93=0,0,IF('FNC-ORD_prospetto riassuntivo'!$B$21+'FNC-ORD_prospetto riassuntivo'!$B$24&gt;J93,J93+1,0))</f>
        <v>92</v>
      </c>
      <c r="K94" s="85">
        <f>O93*'FNC-ORD_prospetto riassuntivo'!$B$26*Q94</f>
        <v>5.9543189328071247</v>
      </c>
      <c r="L94" s="85">
        <f t="shared" si="7"/>
        <v>569.23784673799196</v>
      </c>
      <c r="M94" s="85">
        <f t="shared" si="8"/>
        <v>575.19216567079911</v>
      </c>
      <c r="N94" s="86">
        <f t="shared" si="9"/>
        <v>47711.16475899057</v>
      </c>
      <c r="O94" s="85">
        <f>('FNC-ORD_prospetto riassuntivo'!$B$10-N94)*Q94</f>
        <v>2288.8352410094303</v>
      </c>
      <c r="P94" s="85">
        <f>K94/(1+SUM('FNC-ORD_prospetto riassuntivo'!$B$27:$B$28)/'FNC-ORD_prospetto riassuntivo'!$B$22)^J94</f>
        <v>4.0276453978271016</v>
      </c>
      <c r="Q94">
        <f>IF(J94=0,0,IF(OR(J94&lt;'FNC-ORD_prospetto riassuntivo'!$B$21+'FNC-ORD_prospetto riassuntivo'!$B$24,J94='FNC-ORD_prospetto riassuntivo'!$B$21+'FNC-ORD_prospetto riassuntivo'!$B$24),1,0))</f>
        <v>1</v>
      </c>
    </row>
    <row r="95" spans="10:17" x14ac:dyDescent="0.25">
      <c r="J95" s="84">
        <f>IF(J94=0,0,IF('FNC-ORD_prospetto riassuntivo'!$B$21+'FNC-ORD_prospetto riassuntivo'!$B$24&gt;J94,J94+1,0))</f>
        <v>93</v>
      </c>
      <c r="K95" s="85">
        <f>O94*'FNC-ORD_prospetto riassuntivo'!$B$26*Q95</f>
        <v>4.7684067521029796</v>
      </c>
      <c r="L95" s="85">
        <f t="shared" si="7"/>
        <v>570.42375891869608</v>
      </c>
      <c r="M95" s="85">
        <f t="shared" si="8"/>
        <v>575.19216567079911</v>
      </c>
      <c r="N95" s="86">
        <f t="shared" si="9"/>
        <v>48281.588517909266</v>
      </c>
      <c r="O95" s="85">
        <f>('FNC-ORD_prospetto riassuntivo'!$B$10-N95)*Q95</f>
        <v>1718.4114820907344</v>
      </c>
      <c r="P95" s="85">
        <f>K95/(1+SUM('FNC-ORD_prospetto riassuntivo'!$B$27:$B$28)/'FNC-ORD_prospetto riassuntivo'!$B$22)^J95</f>
        <v>3.2117888368099967</v>
      </c>
      <c r="Q95">
        <f>IF(J95=0,0,IF(OR(J95&lt;'FNC-ORD_prospetto riassuntivo'!$B$21+'FNC-ORD_prospetto riassuntivo'!$B$24,J95='FNC-ORD_prospetto riassuntivo'!$B$21+'FNC-ORD_prospetto riassuntivo'!$B$24),1,0))</f>
        <v>1</v>
      </c>
    </row>
    <row r="96" spans="10:17" x14ac:dyDescent="0.25">
      <c r="J96" s="84">
        <f>IF(J95=0,0,IF('FNC-ORD_prospetto riassuntivo'!$B$21+'FNC-ORD_prospetto riassuntivo'!$B$24&gt;J95,J95+1,0))</f>
        <v>94</v>
      </c>
      <c r="K96" s="85">
        <f>O95*'FNC-ORD_prospetto riassuntivo'!$B$26*Q96</f>
        <v>3.580023921022363</v>
      </c>
      <c r="L96" s="85">
        <f t="shared" si="7"/>
        <v>571.6121417497767</v>
      </c>
      <c r="M96" s="85">
        <f t="shared" si="8"/>
        <v>575.19216567079911</v>
      </c>
      <c r="N96" s="86">
        <f t="shared" si="9"/>
        <v>48853.200659659044</v>
      </c>
      <c r="O96" s="85">
        <f>('FNC-ORD_prospetto riassuntivo'!$B$10-N96)*Q96</f>
        <v>1146.7993403409564</v>
      </c>
      <c r="P96" s="85">
        <f>K96/(1+SUM('FNC-ORD_prospetto riassuntivo'!$B$27:$B$28)/'FNC-ORD_prospetto riassuntivo'!$B$22)^J96</f>
        <v>2.401121709293593</v>
      </c>
      <c r="Q96">
        <f>IF(J96=0,0,IF(OR(J96&lt;'FNC-ORD_prospetto riassuntivo'!$B$21+'FNC-ORD_prospetto riassuntivo'!$B$24,J96='FNC-ORD_prospetto riassuntivo'!$B$21+'FNC-ORD_prospetto riassuntivo'!$B$24),1,0))</f>
        <v>1</v>
      </c>
    </row>
    <row r="97" spans="10:17" x14ac:dyDescent="0.25">
      <c r="J97" s="84">
        <f>IF(J96=0,0,IF('FNC-ORD_prospetto riassuntivo'!$B$21+'FNC-ORD_prospetto riassuntivo'!$B$24&gt;J96,J96+1,0))</f>
        <v>95</v>
      </c>
      <c r="K97" s="85">
        <f>O96*'FNC-ORD_prospetto riassuntivo'!$B$26*Q97</f>
        <v>2.3891652923769926</v>
      </c>
      <c r="L97" s="85">
        <f t="shared" si="7"/>
        <v>572.8030003784221</v>
      </c>
      <c r="M97" s="85">
        <f t="shared" si="8"/>
        <v>575.19216567079911</v>
      </c>
      <c r="N97" s="86">
        <f t="shared" si="9"/>
        <v>49426.003660037466</v>
      </c>
      <c r="O97" s="85">
        <f>('FNC-ORD_prospetto riassuntivo'!$B$10-N97)*Q97</f>
        <v>573.99633996253397</v>
      </c>
      <c r="P97" s="85">
        <f>K97/(1+SUM('FNC-ORD_prospetto riassuntivo'!$B$27:$B$28)/'FNC-ORD_prospetto riassuntivo'!$B$22)^J97</f>
        <v>1.5956182639007401</v>
      </c>
      <c r="Q97">
        <f>IF(J97=0,0,IF(OR(J97&lt;'FNC-ORD_prospetto riassuntivo'!$B$21+'FNC-ORD_prospetto riassuntivo'!$B$24,J97='FNC-ORD_prospetto riassuntivo'!$B$21+'FNC-ORD_prospetto riassuntivo'!$B$24),1,0))</f>
        <v>1</v>
      </c>
    </row>
    <row r="98" spans="10:17" x14ac:dyDescent="0.25">
      <c r="J98" s="84">
        <f>IF(J97=0,0,IF('FNC-ORD_prospetto riassuntivo'!$B$21+'FNC-ORD_prospetto riassuntivo'!$B$24&gt;J97,J97+1,0))</f>
        <v>96</v>
      </c>
      <c r="K98" s="85">
        <f>O97*'FNC-ORD_prospetto riassuntivo'!$B$26*Q98</f>
        <v>1.195825708255279</v>
      </c>
      <c r="L98" s="85">
        <f t="shared" si="7"/>
        <v>573.99633996254386</v>
      </c>
      <c r="M98" s="85">
        <f t="shared" si="8"/>
        <v>575.19216567079911</v>
      </c>
      <c r="N98" s="86">
        <f t="shared" si="9"/>
        <v>50000.000000000007</v>
      </c>
      <c r="O98" s="85">
        <f>('FNC-ORD_prospetto riassuntivo'!$B$10-N98)*Q98</f>
        <v>-7.2759576141834259E-12</v>
      </c>
      <c r="P98" s="85">
        <f>K98/(1+SUM('FNC-ORD_prospetto riassuntivo'!$B$27:$B$28)/'FNC-ORD_prospetto riassuntivo'!$B$22)^J98</f>
        <v>0.79525286656186678</v>
      </c>
      <c r="Q98">
        <f>IF(J98=0,0,IF(OR(J98&lt;'FNC-ORD_prospetto riassuntivo'!$B$21+'FNC-ORD_prospetto riassuntivo'!$B$24,J98='FNC-ORD_prospetto riassuntivo'!$B$21+'FNC-ORD_prospetto riassuntivo'!$B$24),1,0))</f>
        <v>1</v>
      </c>
    </row>
  </sheetData>
  <sheetProtection algorithmName="SHA-512" hashValue="BrwuKiKoF9ysC5rMKeeUTcazmLRITvaMx10MVqefleBP/+WflKjMWgGXi11DDa2XXLHhwky3omg8Nn+TYKsCAw==" saltValue="98k/oxqTzoDG0tUhm9oQFw==" spinCount="100000" sheet="1" objects="1" scenarios="1"/>
  <mergeCells count="2">
    <mergeCell ref="A1:G1"/>
    <mergeCell ref="J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D6DB-4EC2-40BA-A329-87F8D7430CD8}">
  <dimension ref="A1:H85"/>
  <sheetViews>
    <sheetView workbookViewId="0">
      <selection activeCell="B12" sqref="B12"/>
    </sheetView>
  </sheetViews>
  <sheetFormatPr defaultRowHeight="13.2" x14ac:dyDescent="0.25"/>
  <cols>
    <col min="1" max="1" width="38.33203125" bestFit="1" customWidth="1"/>
    <col min="2" max="2" width="19" bestFit="1" customWidth="1"/>
    <col min="3" max="3" width="11.109375" bestFit="1" customWidth="1"/>
    <col min="4" max="4" width="15.6640625" bestFit="1" customWidth="1"/>
    <col min="5" max="5" width="12.109375" bestFit="1" customWidth="1"/>
  </cols>
  <sheetData>
    <row r="1" spans="1:8" ht="22.2" thickTop="1" thickBot="1" x14ac:dyDescent="0.45">
      <c r="A1" s="38"/>
      <c r="B1" s="39"/>
      <c r="C1" s="40" t="s">
        <v>27</v>
      </c>
      <c r="D1" s="64">
        <f>B85</f>
        <v>362.43927770149151</v>
      </c>
      <c r="E1" s="41"/>
      <c r="F1" s="41"/>
      <c r="G1" s="42"/>
      <c r="H1" s="42"/>
    </row>
    <row r="2" spans="1:8" ht="13.8" thickTop="1" x14ac:dyDescent="0.25">
      <c r="A2" s="43"/>
      <c r="B2" s="44"/>
      <c r="C2" s="44"/>
      <c r="D2" s="44"/>
      <c r="E2" s="44"/>
      <c r="F2" s="41"/>
      <c r="G2" s="42"/>
      <c r="H2" s="42"/>
    </row>
    <row r="3" spans="1:8" x14ac:dyDescent="0.25">
      <c r="A3" s="45"/>
      <c r="B3" s="41"/>
      <c r="C3" s="41"/>
      <c r="D3" s="41"/>
      <c r="E3" s="41"/>
      <c r="F3" s="41"/>
      <c r="G3" s="42"/>
      <c r="H3" s="42"/>
    </row>
    <row r="4" spans="1:8" x14ac:dyDescent="0.25">
      <c r="A4" s="46" t="s">
        <v>28</v>
      </c>
      <c r="B4" s="75">
        <f>'FNC-ORD_prospetto riassuntivo'!B33</f>
        <v>1.9300000000000001E-2</v>
      </c>
      <c r="C4" s="42"/>
      <c r="D4" s="42"/>
      <c r="E4" s="42"/>
      <c r="F4" s="47"/>
      <c r="G4" s="42"/>
      <c r="H4" s="42"/>
    </row>
    <row r="5" spans="1:8" x14ac:dyDescent="0.25">
      <c r="A5" s="46" t="s">
        <v>29</v>
      </c>
      <c r="B5" s="80">
        <v>6.0000000000000001E-3</v>
      </c>
      <c r="C5" s="42"/>
      <c r="D5" s="42"/>
      <c r="E5" s="42"/>
      <c r="F5" s="42"/>
      <c r="G5" s="42"/>
      <c r="H5" s="42"/>
    </row>
    <row r="6" spans="1:8" x14ac:dyDescent="0.25">
      <c r="A6" s="46" t="s">
        <v>30</v>
      </c>
      <c r="B6" s="80">
        <v>3.2000000000000002E-3</v>
      </c>
      <c r="C6" s="42"/>
      <c r="D6" s="48"/>
      <c r="E6" s="42"/>
      <c r="F6" s="42"/>
      <c r="G6" s="42"/>
      <c r="H6" s="42"/>
    </row>
    <row r="7" spans="1:8" x14ac:dyDescent="0.25">
      <c r="A7" s="46" t="s">
        <v>31</v>
      </c>
      <c r="B7" s="76">
        <v>0</v>
      </c>
      <c r="C7" s="42"/>
      <c r="D7" s="48"/>
      <c r="E7" s="42"/>
      <c r="F7" s="42"/>
      <c r="G7" s="42"/>
      <c r="H7" s="42"/>
    </row>
    <row r="8" spans="1:8" x14ac:dyDescent="0.25">
      <c r="A8" s="46" t="s">
        <v>32</v>
      </c>
      <c r="B8" s="77">
        <f>'FNC-ORD_prospetto riassuntivo'!B10</f>
        <v>50000</v>
      </c>
      <c r="C8" s="42"/>
      <c r="D8" s="42"/>
      <c r="E8" s="49"/>
      <c r="F8" s="42"/>
      <c r="G8" s="42"/>
      <c r="H8" s="42"/>
    </row>
    <row r="9" spans="1:8" x14ac:dyDescent="0.25">
      <c r="A9" s="46" t="s">
        <v>33</v>
      </c>
      <c r="B9" s="75">
        <f>IF('FNC-ORD_prospetto riassuntivo'!B16="NO",70%*'FNC-ORD_prospetto riassuntivo'!B11,10%*'FNC-ORD_prospetto riassuntivo'!B11)</f>
        <v>0.06</v>
      </c>
      <c r="C9" s="42"/>
      <c r="D9" s="42"/>
      <c r="E9" s="42"/>
      <c r="F9" s="42"/>
      <c r="G9" s="42"/>
      <c r="H9" s="42"/>
    </row>
    <row r="10" spans="1:8" x14ac:dyDescent="0.25">
      <c r="A10" s="46" t="s">
        <v>34</v>
      </c>
      <c r="B10" s="81">
        <f>+B8*B9</f>
        <v>3000</v>
      </c>
      <c r="C10" s="42"/>
      <c r="D10" s="42"/>
      <c r="E10" s="42"/>
      <c r="F10" s="42"/>
      <c r="G10" s="42"/>
      <c r="H10" s="42"/>
    </row>
    <row r="11" spans="1:8" x14ac:dyDescent="0.25">
      <c r="A11" s="46" t="s">
        <v>35</v>
      </c>
      <c r="B11" s="78">
        <f>ROUNDUP('FNC-ORD_prospetto riassuntivo'!B15/12,0)</f>
        <v>8</v>
      </c>
      <c r="C11" s="42"/>
      <c r="D11" s="42"/>
      <c r="E11" s="42"/>
      <c r="F11" s="42"/>
      <c r="G11" s="42"/>
      <c r="H11" s="42"/>
    </row>
    <row r="12" spans="1:8" x14ac:dyDescent="0.25">
      <c r="A12" s="46" t="s">
        <v>36</v>
      </c>
      <c r="B12" s="79">
        <f>'FNC-ORD_prospetto riassuntivo'!B27+1%</f>
        <v>5.11E-2</v>
      </c>
      <c r="C12" s="42"/>
      <c r="D12" s="42"/>
      <c r="E12" s="42"/>
      <c r="F12" s="42"/>
      <c r="G12" s="42"/>
      <c r="H12" s="42"/>
    </row>
    <row r="13" spans="1:8" x14ac:dyDescent="0.25">
      <c r="A13" s="46"/>
      <c r="B13" s="42"/>
      <c r="C13" s="42"/>
      <c r="D13" s="42"/>
      <c r="E13" s="42"/>
      <c r="F13" s="42"/>
      <c r="G13" s="42"/>
      <c r="H13" s="42"/>
    </row>
    <row r="14" spans="1:8" x14ac:dyDescent="0.25">
      <c r="A14" s="50" t="s">
        <v>37</v>
      </c>
      <c r="B14" s="51">
        <f>-PMT(B12,B11,B8)</f>
        <v>7770.5265284688448</v>
      </c>
      <c r="C14" s="41"/>
      <c r="D14" s="52"/>
      <c r="E14" s="41"/>
      <c r="F14" s="41"/>
      <c r="G14" s="42"/>
      <c r="H14" s="42"/>
    </row>
    <row r="15" spans="1:8" x14ac:dyDescent="0.25">
      <c r="A15" s="50" t="s">
        <v>38</v>
      </c>
      <c r="B15" s="46" t="s">
        <v>39</v>
      </c>
      <c r="C15" s="53" t="s">
        <v>40</v>
      </c>
      <c r="D15" s="54" t="s">
        <v>41</v>
      </c>
      <c r="E15" s="41" t="s">
        <v>42</v>
      </c>
      <c r="F15" s="42"/>
      <c r="G15" s="42"/>
      <c r="H15" s="42"/>
    </row>
    <row r="16" spans="1:8" x14ac:dyDescent="0.25">
      <c r="A16" s="46">
        <v>1</v>
      </c>
      <c r="B16" s="55">
        <f>B8</f>
        <v>50000</v>
      </c>
      <c r="C16" s="49">
        <f t="shared" ref="C16:C45" si="0">B$12*B16</f>
        <v>2555</v>
      </c>
      <c r="D16" s="56">
        <f t="shared" ref="D16:D45" si="1">E16-C16</f>
        <v>5215.5265284688448</v>
      </c>
      <c r="E16" s="57">
        <f t="shared" ref="E16:E45" si="2">IF(B$11&gt;=A16,B$14,IF(B$11&lt;A16,0))</f>
        <v>7770.5265284688448</v>
      </c>
      <c r="F16" s="42"/>
      <c r="G16" s="57"/>
      <c r="H16" s="42"/>
    </row>
    <row r="17" spans="1:8" x14ac:dyDescent="0.25">
      <c r="A17" s="46">
        <v>2</v>
      </c>
      <c r="B17" s="55">
        <f t="shared" ref="B17:B46" si="3">B16-D16</f>
        <v>44784.473471531157</v>
      </c>
      <c r="C17" s="49">
        <f t="shared" si="0"/>
        <v>2288.4865943952423</v>
      </c>
      <c r="D17" s="56">
        <f t="shared" si="1"/>
        <v>5482.0399340736021</v>
      </c>
      <c r="E17" s="57">
        <f t="shared" si="2"/>
        <v>7770.5265284688448</v>
      </c>
      <c r="F17" s="42"/>
      <c r="G17" s="57"/>
      <c r="H17" s="42"/>
    </row>
    <row r="18" spans="1:8" x14ac:dyDescent="0.25">
      <c r="A18" s="46">
        <v>3</v>
      </c>
      <c r="B18" s="55">
        <f t="shared" si="3"/>
        <v>39302.433537457553</v>
      </c>
      <c r="C18" s="49">
        <f t="shared" si="0"/>
        <v>2008.354353764081</v>
      </c>
      <c r="D18" s="56">
        <f t="shared" si="1"/>
        <v>5762.1721747047641</v>
      </c>
      <c r="E18" s="57">
        <f t="shared" si="2"/>
        <v>7770.5265284688448</v>
      </c>
      <c r="F18" s="42"/>
      <c r="G18" s="57"/>
      <c r="H18" s="42"/>
    </row>
    <row r="19" spans="1:8" x14ac:dyDescent="0.25">
      <c r="A19" s="46">
        <v>4</v>
      </c>
      <c r="B19" s="55">
        <f t="shared" si="3"/>
        <v>33540.26136275279</v>
      </c>
      <c r="C19" s="49">
        <f t="shared" si="0"/>
        <v>1713.9073556366675</v>
      </c>
      <c r="D19" s="56">
        <f t="shared" si="1"/>
        <v>6056.6191728321774</v>
      </c>
      <c r="E19" s="57">
        <f t="shared" si="2"/>
        <v>7770.5265284688448</v>
      </c>
      <c r="F19" s="42"/>
      <c r="G19" s="57"/>
      <c r="H19" s="42"/>
    </row>
    <row r="20" spans="1:8" x14ac:dyDescent="0.25">
      <c r="A20" s="46">
        <v>5</v>
      </c>
      <c r="B20" s="55">
        <f t="shared" si="3"/>
        <v>27483.642189920611</v>
      </c>
      <c r="C20" s="49">
        <f t="shared" si="0"/>
        <v>1404.4141159049432</v>
      </c>
      <c r="D20" s="56">
        <f t="shared" si="1"/>
        <v>6366.1124125639017</v>
      </c>
      <c r="E20" s="57">
        <f t="shared" si="2"/>
        <v>7770.5265284688448</v>
      </c>
      <c r="F20" s="42"/>
      <c r="G20" s="57"/>
      <c r="H20" s="42"/>
    </row>
    <row r="21" spans="1:8" x14ac:dyDescent="0.25">
      <c r="A21" s="46">
        <v>6</v>
      </c>
      <c r="B21" s="55">
        <f t="shared" si="3"/>
        <v>21117.529777356707</v>
      </c>
      <c r="C21" s="49">
        <f t="shared" si="0"/>
        <v>1079.1057716229277</v>
      </c>
      <c r="D21" s="56">
        <f t="shared" si="1"/>
        <v>6691.4207568459169</v>
      </c>
      <c r="E21" s="57">
        <f t="shared" si="2"/>
        <v>7770.5265284688448</v>
      </c>
      <c r="F21" s="42"/>
      <c r="G21" s="57"/>
      <c r="H21" s="42"/>
    </row>
    <row r="22" spans="1:8" x14ac:dyDescent="0.25">
      <c r="A22" s="46">
        <v>7</v>
      </c>
      <c r="B22" s="55">
        <f t="shared" si="3"/>
        <v>14426.10902051079</v>
      </c>
      <c r="C22" s="49">
        <f t="shared" si="0"/>
        <v>737.17417094810139</v>
      </c>
      <c r="D22" s="56">
        <f t="shared" si="1"/>
        <v>7033.3523575207437</v>
      </c>
      <c r="E22" s="57">
        <f t="shared" si="2"/>
        <v>7770.5265284688448</v>
      </c>
      <c r="F22" s="57"/>
      <c r="G22" s="42"/>
      <c r="H22" s="42"/>
    </row>
    <row r="23" spans="1:8" x14ac:dyDescent="0.25">
      <c r="A23" s="46">
        <v>8</v>
      </c>
      <c r="B23" s="55">
        <f t="shared" si="3"/>
        <v>7392.7566629900466</v>
      </c>
      <c r="C23" s="49">
        <f t="shared" si="0"/>
        <v>377.76986547879136</v>
      </c>
      <c r="D23" s="56">
        <f t="shared" si="1"/>
        <v>7392.7566629900539</v>
      </c>
      <c r="E23" s="57">
        <f t="shared" si="2"/>
        <v>7770.5265284688448</v>
      </c>
      <c r="F23" s="42"/>
      <c r="G23" s="42"/>
      <c r="H23" s="42"/>
    </row>
    <row r="24" spans="1:8" x14ac:dyDescent="0.25">
      <c r="A24" s="46">
        <v>9</v>
      </c>
      <c r="B24" s="55">
        <f t="shared" si="3"/>
        <v>-7.2759576141834259E-12</v>
      </c>
      <c r="C24" s="49">
        <f t="shared" si="0"/>
        <v>-3.7180143408477306E-13</v>
      </c>
      <c r="D24" s="56">
        <f t="shared" si="1"/>
        <v>3.7180143408477306E-13</v>
      </c>
      <c r="E24" s="57">
        <f t="shared" si="2"/>
        <v>0</v>
      </c>
      <c r="F24" s="42"/>
      <c r="G24" s="42"/>
      <c r="H24" s="42"/>
    </row>
    <row r="25" spans="1:8" x14ac:dyDescent="0.25">
      <c r="A25" s="46">
        <v>10</v>
      </c>
      <c r="B25" s="55">
        <f t="shared" si="3"/>
        <v>-7.6477590482681984E-12</v>
      </c>
      <c r="C25" s="49">
        <f t="shared" si="0"/>
        <v>-3.9080048736650493E-13</v>
      </c>
      <c r="D25" s="56">
        <f t="shared" si="1"/>
        <v>3.9080048736650493E-13</v>
      </c>
      <c r="E25" s="57">
        <f t="shared" si="2"/>
        <v>0</v>
      </c>
      <c r="F25" s="42"/>
      <c r="G25" s="42"/>
      <c r="H25" s="42"/>
    </row>
    <row r="26" spans="1:8" x14ac:dyDescent="0.25">
      <c r="A26" s="46">
        <v>11</v>
      </c>
      <c r="B26" s="55">
        <f t="shared" si="3"/>
        <v>-8.0385595356347026E-12</v>
      </c>
      <c r="C26" s="49">
        <f t="shared" si="0"/>
        <v>-4.1077039227093331E-13</v>
      </c>
      <c r="D26" s="56">
        <f t="shared" si="1"/>
        <v>4.1077039227093331E-13</v>
      </c>
      <c r="E26" s="57">
        <f t="shared" si="2"/>
        <v>0</v>
      </c>
      <c r="F26" s="42"/>
      <c r="G26" s="42"/>
      <c r="H26" s="42"/>
    </row>
    <row r="27" spans="1:8" x14ac:dyDescent="0.25">
      <c r="A27" s="46">
        <v>12</v>
      </c>
      <c r="B27" s="55">
        <f t="shared" si="3"/>
        <v>-8.4493299279056357E-12</v>
      </c>
      <c r="C27" s="49">
        <f t="shared" si="0"/>
        <v>-4.3176075931597796E-13</v>
      </c>
      <c r="D27" s="56">
        <f t="shared" si="1"/>
        <v>4.3176075931597796E-13</v>
      </c>
      <c r="E27" s="57">
        <f t="shared" si="2"/>
        <v>0</v>
      </c>
      <c r="F27" s="42"/>
      <c r="G27" s="42"/>
      <c r="H27" s="42"/>
    </row>
    <row r="28" spans="1:8" x14ac:dyDescent="0.25">
      <c r="A28" s="46">
        <v>13</v>
      </c>
      <c r="B28" s="55">
        <f t="shared" si="3"/>
        <v>-8.8810906872216142E-12</v>
      </c>
      <c r="C28" s="49">
        <f t="shared" si="0"/>
        <v>-4.5382373411702447E-13</v>
      </c>
      <c r="D28" s="56">
        <f t="shared" si="1"/>
        <v>4.5382373411702447E-13</v>
      </c>
      <c r="E28" s="57">
        <f t="shared" si="2"/>
        <v>0</v>
      </c>
      <c r="F28" s="42"/>
      <c r="G28" s="42"/>
      <c r="H28" s="42"/>
    </row>
    <row r="29" spans="1:8" x14ac:dyDescent="0.25">
      <c r="A29" s="46">
        <v>14</v>
      </c>
      <c r="B29" s="55">
        <f t="shared" si="3"/>
        <v>-9.3349144213386393E-12</v>
      </c>
      <c r="C29" s="49">
        <f t="shared" si="0"/>
        <v>-4.7701412693040444E-13</v>
      </c>
      <c r="D29" s="56">
        <f t="shared" si="1"/>
        <v>4.7701412693040444E-13</v>
      </c>
      <c r="E29" s="57">
        <f t="shared" si="2"/>
        <v>0</v>
      </c>
      <c r="F29" s="56"/>
      <c r="G29" s="42"/>
      <c r="H29" s="42"/>
    </row>
    <row r="30" spans="1:8" x14ac:dyDescent="0.25">
      <c r="A30" s="46">
        <v>15</v>
      </c>
      <c r="B30" s="55">
        <f t="shared" si="3"/>
        <v>-9.8119285482690435E-12</v>
      </c>
      <c r="C30" s="49">
        <f t="shared" si="0"/>
        <v>-5.0138954881654808E-13</v>
      </c>
      <c r="D30" s="56">
        <f t="shared" si="1"/>
        <v>5.0138954881654808E-13</v>
      </c>
      <c r="E30" s="57">
        <f t="shared" si="2"/>
        <v>0</v>
      </c>
      <c r="F30" s="42"/>
      <c r="G30" s="42"/>
      <c r="H30" s="42"/>
    </row>
    <row r="31" spans="1:8" x14ac:dyDescent="0.25">
      <c r="A31" s="46">
        <v>16</v>
      </c>
      <c r="B31" s="55">
        <f t="shared" si="3"/>
        <v>-1.0313318097085591E-11</v>
      </c>
      <c r="C31" s="49">
        <f t="shared" si="0"/>
        <v>-5.270105547610737E-13</v>
      </c>
      <c r="D31" s="56">
        <f t="shared" si="1"/>
        <v>5.270105547610737E-13</v>
      </c>
      <c r="E31" s="57">
        <f t="shared" si="2"/>
        <v>0</v>
      </c>
      <c r="F31" s="42"/>
      <c r="G31" s="42"/>
      <c r="H31" s="42"/>
    </row>
    <row r="32" spans="1:8" x14ac:dyDescent="0.25">
      <c r="A32" s="46">
        <v>17</v>
      </c>
      <c r="B32" s="55">
        <f t="shared" si="3"/>
        <v>-1.0840328651846665E-11</v>
      </c>
      <c r="C32" s="49">
        <f t="shared" si="0"/>
        <v>-5.5394079410936455E-13</v>
      </c>
      <c r="D32" s="56">
        <f t="shared" si="1"/>
        <v>5.5394079410936455E-13</v>
      </c>
      <c r="E32" s="57">
        <f t="shared" si="2"/>
        <v>0</v>
      </c>
      <c r="F32" s="42"/>
      <c r="G32" s="42"/>
      <c r="H32" s="58"/>
    </row>
    <row r="33" spans="1:8" x14ac:dyDescent="0.25">
      <c r="A33" s="46">
        <v>18</v>
      </c>
      <c r="B33" s="55">
        <f t="shared" si="3"/>
        <v>-1.139426944595603E-11</v>
      </c>
      <c r="C33" s="49">
        <f t="shared" si="0"/>
        <v>-5.8224716868835308E-13</v>
      </c>
      <c r="D33" s="56">
        <f t="shared" si="1"/>
        <v>5.8224716868835308E-13</v>
      </c>
      <c r="E33" s="57">
        <f t="shared" si="2"/>
        <v>0</v>
      </c>
      <c r="F33" s="42"/>
      <c r="G33" s="42"/>
      <c r="H33" s="42"/>
    </row>
    <row r="34" spans="1:8" x14ac:dyDescent="0.25">
      <c r="A34" s="46">
        <v>19</v>
      </c>
      <c r="B34" s="55">
        <f t="shared" si="3"/>
        <v>-1.1976516614644384E-11</v>
      </c>
      <c r="C34" s="49">
        <f t="shared" si="0"/>
        <v>-6.11999999008328E-13</v>
      </c>
      <c r="D34" s="56">
        <f t="shared" si="1"/>
        <v>6.11999999008328E-13</v>
      </c>
      <c r="E34" s="57">
        <f t="shared" si="2"/>
        <v>0</v>
      </c>
      <c r="F34" s="42"/>
      <c r="G34" s="42"/>
      <c r="H34" s="42"/>
    </row>
    <row r="35" spans="1:8" x14ac:dyDescent="0.25">
      <c r="A35" s="46">
        <v>20</v>
      </c>
      <c r="B35" s="55">
        <f t="shared" si="3"/>
        <v>-1.2588516613652712E-11</v>
      </c>
      <c r="C35" s="49">
        <f t="shared" si="0"/>
        <v>-6.4327319895765355E-13</v>
      </c>
      <c r="D35" s="56">
        <f t="shared" si="1"/>
        <v>6.4327319895765355E-13</v>
      </c>
      <c r="E35" s="57">
        <f t="shared" si="2"/>
        <v>0</v>
      </c>
      <c r="F35" s="42"/>
      <c r="G35" s="42"/>
      <c r="H35" s="42"/>
    </row>
    <row r="36" spans="1:8" x14ac:dyDescent="0.25">
      <c r="A36" s="46">
        <v>21</v>
      </c>
      <c r="B36" s="55">
        <f t="shared" si="3"/>
        <v>-1.3231789812610365E-11</v>
      </c>
      <c r="C36" s="49">
        <f t="shared" si="0"/>
        <v>-6.7614445942438964E-13</v>
      </c>
      <c r="D36" s="56">
        <f t="shared" si="1"/>
        <v>6.7614445942438964E-13</v>
      </c>
      <c r="E36" s="57">
        <f t="shared" si="2"/>
        <v>0</v>
      </c>
      <c r="F36" s="42"/>
      <c r="G36" s="42"/>
      <c r="H36" s="42"/>
    </row>
    <row r="37" spans="1:8" x14ac:dyDescent="0.25">
      <c r="A37" s="46">
        <v>22</v>
      </c>
      <c r="B37" s="55">
        <f t="shared" si="3"/>
        <v>-1.3907934272034756E-11</v>
      </c>
      <c r="C37" s="49">
        <f t="shared" si="0"/>
        <v>-7.1069544130097598E-13</v>
      </c>
      <c r="D37" s="56">
        <f t="shared" si="1"/>
        <v>7.1069544130097598E-13</v>
      </c>
      <c r="E37" s="57">
        <f t="shared" si="2"/>
        <v>0</v>
      </c>
      <c r="F37" s="42"/>
      <c r="G37" s="42"/>
      <c r="H37" s="42"/>
    </row>
    <row r="38" spans="1:8" x14ac:dyDescent="0.25">
      <c r="A38" s="46">
        <v>23</v>
      </c>
      <c r="B38" s="55">
        <f t="shared" si="3"/>
        <v>-1.4618629713335732E-11</v>
      </c>
      <c r="C38" s="49">
        <f t="shared" si="0"/>
        <v>-7.4701197835145594E-13</v>
      </c>
      <c r="D38" s="56">
        <f t="shared" si="1"/>
        <v>7.4701197835145594E-13</v>
      </c>
      <c r="E38" s="57">
        <f t="shared" si="2"/>
        <v>0</v>
      </c>
      <c r="F38" s="42"/>
      <c r="G38" s="42"/>
      <c r="H38" s="42"/>
    </row>
    <row r="39" spans="1:8" x14ac:dyDescent="0.25">
      <c r="A39" s="46">
        <v>24</v>
      </c>
      <c r="B39" s="55">
        <f t="shared" si="3"/>
        <v>-1.5365641691687189E-11</v>
      </c>
      <c r="C39" s="49">
        <f t="shared" si="0"/>
        <v>-7.8518429044521539E-13</v>
      </c>
      <c r="D39" s="56">
        <f t="shared" si="1"/>
        <v>7.8518429044521539E-13</v>
      </c>
      <c r="E39" s="57">
        <f t="shared" si="2"/>
        <v>0</v>
      </c>
      <c r="F39" s="42"/>
      <c r="G39" s="42"/>
      <c r="H39" s="42"/>
    </row>
    <row r="40" spans="1:8" x14ac:dyDescent="0.25">
      <c r="A40" s="46">
        <v>25</v>
      </c>
      <c r="B40" s="55">
        <f t="shared" si="3"/>
        <v>-1.6150825982132403E-11</v>
      </c>
      <c r="C40" s="49">
        <f t="shared" si="0"/>
        <v>-8.2530720768696585E-13</v>
      </c>
      <c r="D40" s="56">
        <f t="shared" si="1"/>
        <v>8.2530720768696585E-13</v>
      </c>
      <c r="E40" s="57">
        <f t="shared" si="2"/>
        <v>0</v>
      </c>
      <c r="F40" s="42"/>
      <c r="G40" s="42"/>
      <c r="H40" s="42"/>
    </row>
    <row r="41" spans="1:8" x14ac:dyDescent="0.25">
      <c r="A41" s="46">
        <v>26</v>
      </c>
      <c r="B41" s="55">
        <f t="shared" si="3"/>
        <v>-1.6976133189819371E-11</v>
      </c>
      <c r="C41" s="49">
        <f t="shared" si="0"/>
        <v>-8.6748040599976988E-13</v>
      </c>
      <c r="D41" s="56">
        <f t="shared" si="1"/>
        <v>8.6748040599976988E-13</v>
      </c>
      <c r="E41" s="57">
        <f t="shared" si="2"/>
        <v>0</v>
      </c>
      <c r="F41" s="42"/>
      <c r="G41" s="42"/>
      <c r="H41" s="42"/>
    </row>
    <row r="42" spans="1:8" x14ac:dyDescent="0.25">
      <c r="A42" s="46">
        <v>27</v>
      </c>
      <c r="B42" s="55">
        <f t="shared" si="3"/>
        <v>-1.784361359581914E-11</v>
      </c>
      <c r="C42" s="49">
        <f t="shared" si="0"/>
        <v>-9.1180865474635807E-13</v>
      </c>
      <c r="D42" s="56">
        <f t="shared" si="1"/>
        <v>9.1180865474635807E-13</v>
      </c>
      <c r="E42" s="57">
        <f t="shared" si="2"/>
        <v>0</v>
      </c>
      <c r="F42" s="42"/>
      <c r="G42" s="42"/>
      <c r="H42" s="42"/>
    </row>
    <row r="43" spans="1:8" x14ac:dyDescent="0.25">
      <c r="A43" s="46">
        <v>28</v>
      </c>
      <c r="B43" s="55">
        <f t="shared" si="3"/>
        <v>-1.8755422250565498E-11</v>
      </c>
      <c r="C43" s="49">
        <f t="shared" si="0"/>
        <v>-9.5840207700389696E-13</v>
      </c>
      <c r="D43" s="56">
        <f t="shared" si="1"/>
        <v>9.5840207700389696E-13</v>
      </c>
      <c r="E43" s="57">
        <f t="shared" si="2"/>
        <v>0</v>
      </c>
      <c r="F43" s="42"/>
      <c r="G43" s="42"/>
      <c r="H43" s="42"/>
    </row>
    <row r="44" spans="1:8" x14ac:dyDescent="0.25">
      <c r="A44" s="46">
        <v>29</v>
      </c>
      <c r="B44" s="55">
        <f t="shared" si="3"/>
        <v>-1.9713824327569396E-11</v>
      </c>
      <c r="C44" s="49">
        <f t="shared" si="0"/>
        <v>-1.0073764231387962E-12</v>
      </c>
      <c r="D44" s="56">
        <f t="shared" si="1"/>
        <v>1.0073764231387962E-12</v>
      </c>
      <c r="E44" s="57">
        <f t="shared" si="2"/>
        <v>0</v>
      </c>
      <c r="F44" s="42"/>
      <c r="G44" s="42"/>
      <c r="H44" s="42"/>
    </row>
    <row r="45" spans="1:8" x14ac:dyDescent="0.25">
      <c r="A45" s="46">
        <v>30</v>
      </c>
      <c r="B45" s="55">
        <f t="shared" si="3"/>
        <v>-2.0721200750708193E-11</v>
      </c>
      <c r="C45" s="49">
        <f t="shared" si="0"/>
        <v>-1.0588533583611887E-12</v>
      </c>
      <c r="D45" s="56">
        <f t="shared" si="1"/>
        <v>1.0588533583611887E-12</v>
      </c>
      <c r="E45" s="57">
        <f t="shared" si="2"/>
        <v>0</v>
      </c>
      <c r="F45" s="42"/>
      <c r="G45" s="42"/>
      <c r="H45" s="42"/>
    </row>
    <row r="46" spans="1:8" x14ac:dyDescent="0.25">
      <c r="A46" s="45"/>
      <c r="B46" s="55">
        <f t="shared" si="3"/>
        <v>-2.1780054109069383E-11</v>
      </c>
      <c r="C46" s="49"/>
      <c r="D46" s="56"/>
      <c r="E46" s="57"/>
      <c r="F46" s="42"/>
      <c r="G46" s="42"/>
      <c r="H46" s="42"/>
    </row>
    <row r="47" spans="1:8" x14ac:dyDescent="0.25">
      <c r="A47" s="45"/>
      <c r="B47" s="42"/>
      <c r="C47" s="42"/>
      <c r="D47" s="42"/>
      <c r="E47" s="42"/>
      <c r="F47" s="42"/>
      <c r="G47" s="42"/>
      <c r="H47" s="42"/>
    </row>
    <row r="48" spans="1:8" ht="15.6" x14ac:dyDescent="0.35">
      <c r="A48" s="50" t="s">
        <v>38</v>
      </c>
      <c r="B48" s="46" t="s">
        <v>43</v>
      </c>
      <c r="C48" s="42"/>
      <c r="D48" s="42"/>
      <c r="E48" s="42"/>
      <c r="F48" s="42"/>
      <c r="G48" s="42"/>
      <c r="H48" s="42"/>
    </row>
    <row r="49" spans="1:8" x14ac:dyDescent="0.25">
      <c r="A49" s="46">
        <v>1</v>
      </c>
      <c r="B49" s="59">
        <f t="shared" ref="B49:B79" si="4">B16*B$9*(B$4+B$5+B$6)</f>
        <v>85.500000000000014</v>
      </c>
      <c r="C49" s="42"/>
      <c r="D49" s="42"/>
      <c r="E49" s="42"/>
      <c r="F49" s="42"/>
      <c r="G49" s="42"/>
      <c r="H49" s="42"/>
    </row>
    <row r="50" spans="1:8" x14ac:dyDescent="0.25">
      <c r="A50" s="46">
        <v>2</v>
      </c>
      <c r="B50" s="59">
        <f t="shared" si="4"/>
        <v>76.581449636318283</v>
      </c>
      <c r="C50" s="42"/>
      <c r="D50" s="42"/>
      <c r="E50" s="42"/>
      <c r="F50" s="42"/>
      <c r="G50" s="42"/>
      <c r="H50" s="42"/>
    </row>
    <row r="51" spans="1:8" x14ac:dyDescent="0.25">
      <c r="A51" s="46">
        <v>3</v>
      </c>
      <c r="B51" s="59">
        <f t="shared" si="4"/>
        <v>67.207161349052427</v>
      </c>
      <c r="C51" s="50"/>
      <c r="D51" s="42"/>
      <c r="E51" s="42"/>
      <c r="F51" s="42"/>
      <c r="G51" s="42"/>
      <c r="H51" s="42"/>
    </row>
    <row r="52" spans="1:8" x14ac:dyDescent="0.25">
      <c r="A52" s="46">
        <v>4</v>
      </c>
      <c r="B52" s="59">
        <f t="shared" si="4"/>
        <v>57.353846930307277</v>
      </c>
      <c r="C52" s="42"/>
      <c r="D52" s="42"/>
      <c r="E52" s="42"/>
      <c r="F52" s="42"/>
      <c r="G52" s="42"/>
      <c r="H52" s="42"/>
    </row>
    <row r="53" spans="1:8" x14ac:dyDescent="0.25">
      <c r="A53" s="46">
        <v>5</v>
      </c>
      <c r="B53" s="59">
        <f t="shared" si="4"/>
        <v>46.997028144764251</v>
      </c>
      <c r="C53" s="42"/>
      <c r="D53" s="42"/>
      <c r="E53" s="42"/>
      <c r="F53" s="42"/>
      <c r="G53" s="42"/>
      <c r="H53" s="42"/>
    </row>
    <row r="54" spans="1:8" x14ac:dyDescent="0.25">
      <c r="A54" s="46">
        <v>6</v>
      </c>
      <c r="B54" s="59">
        <f t="shared" si="4"/>
        <v>36.11097591927998</v>
      </c>
      <c r="C54" s="42"/>
      <c r="D54" s="42"/>
      <c r="E54" s="42"/>
      <c r="F54" s="42"/>
      <c r="G54" s="42"/>
      <c r="H54" s="42"/>
    </row>
    <row r="55" spans="1:8" x14ac:dyDescent="0.25">
      <c r="A55" s="46">
        <v>7</v>
      </c>
      <c r="B55" s="59">
        <f t="shared" si="4"/>
        <v>24.668646425073455</v>
      </c>
      <c r="C55" s="42"/>
      <c r="D55" s="42"/>
      <c r="E55" s="42"/>
      <c r="F55" s="42"/>
      <c r="G55" s="42"/>
      <c r="H55" s="42"/>
    </row>
    <row r="56" spans="1:8" x14ac:dyDescent="0.25">
      <c r="A56" s="46">
        <v>8</v>
      </c>
      <c r="B56" s="59">
        <f t="shared" si="4"/>
        <v>12.64161389371298</v>
      </c>
      <c r="C56" s="42"/>
      <c r="D56" s="42"/>
      <c r="E56" s="42"/>
      <c r="F56" s="42"/>
      <c r="G56" s="42"/>
      <c r="H56" s="42"/>
    </row>
    <row r="57" spans="1:8" x14ac:dyDescent="0.25">
      <c r="A57" s="46">
        <v>9</v>
      </c>
      <c r="B57" s="59">
        <f t="shared" si="4"/>
        <v>-1.2441887520253659E-14</v>
      </c>
      <c r="C57" s="42"/>
      <c r="D57" s="42"/>
      <c r="E57" s="42"/>
      <c r="F57" s="42"/>
      <c r="G57" s="42"/>
      <c r="H57" s="42"/>
    </row>
    <row r="58" spans="1:8" x14ac:dyDescent="0.25">
      <c r="A58" s="46">
        <v>10</v>
      </c>
      <c r="B58" s="59">
        <f t="shared" si="4"/>
        <v>-1.3077667972538622E-14</v>
      </c>
      <c r="C58" s="42"/>
      <c r="D58" s="42"/>
      <c r="E58" s="42"/>
      <c r="F58" s="42"/>
      <c r="G58" s="42"/>
      <c r="H58" s="42"/>
    </row>
    <row r="59" spans="1:8" x14ac:dyDescent="0.25">
      <c r="A59" s="46">
        <v>11</v>
      </c>
      <c r="B59" s="59">
        <f t="shared" si="4"/>
        <v>-1.3745936805935343E-14</v>
      </c>
      <c r="C59" s="42"/>
      <c r="D59" s="42"/>
      <c r="E59" s="42"/>
      <c r="F59" s="42"/>
      <c r="G59" s="42"/>
      <c r="H59" s="42"/>
    </row>
    <row r="60" spans="1:8" x14ac:dyDescent="0.25">
      <c r="A60" s="46">
        <v>12</v>
      </c>
      <c r="B60" s="59">
        <f t="shared" si="4"/>
        <v>-1.4448354176718639E-14</v>
      </c>
      <c r="C60" s="42"/>
      <c r="D60" s="42"/>
      <c r="E60" s="42"/>
      <c r="F60" s="42"/>
      <c r="G60" s="42"/>
      <c r="H60" s="42"/>
    </row>
    <row r="61" spans="1:8" x14ac:dyDescent="0.25">
      <c r="A61" s="46">
        <v>13</v>
      </c>
      <c r="B61" s="59">
        <f t="shared" si="4"/>
        <v>-1.5186665075148963E-14</v>
      </c>
      <c r="C61" s="42"/>
      <c r="D61" s="42"/>
      <c r="E61" s="42"/>
      <c r="F61" s="42"/>
      <c r="G61" s="42"/>
      <c r="H61" s="42"/>
    </row>
    <row r="62" spans="1:8" x14ac:dyDescent="0.25">
      <c r="A62" s="46">
        <v>14</v>
      </c>
      <c r="B62" s="59">
        <f t="shared" si="4"/>
        <v>-1.5962703660489073E-14</v>
      </c>
      <c r="C62" s="42"/>
      <c r="D62" s="42"/>
      <c r="E62" s="42"/>
      <c r="F62" s="42"/>
      <c r="G62" s="42"/>
      <c r="H62" s="42"/>
    </row>
    <row r="63" spans="1:8" x14ac:dyDescent="0.25">
      <c r="A63" s="46">
        <v>15</v>
      </c>
      <c r="B63" s="59">
        <f t="shared" si="4"/>
        <v>-1.6778397817540067E-14</v>
      </c>
      <c r="C63" s="42"/>
      <c r="D63" s="42"/>
      <c r="E63" s="42"/>
      <c r="F63" s="42"/>
      <c r="G63" s="42"/>
      <c r="H63" s="42"/>
    </row>
    <row r="64" spans="1:8" x14ac:dyDescent="0.25">
      <c r="A64" s="46">
        <v>16</v>
      </c>
      <c r="B64" s="59">
        <f t="shared" si="4"/>
        <v>-1.7635773946016363E-14</v>
      </c>
      <c r="C64" s="42"/>
      <c r="D64" s="42"/>
      <c r="E64" s="42"/>
      <c r="F64" s="42"/>
      <c r="G64" s="42"/>
      <c r="H64" s="42"/>
    </row>
    <row r="65" spans="1:8" x14ac:dyDescent="0.25">
      <c r="A65" s="46">
        <v>17</v>
      </c>
      <c r="B65" s="59">
        <f t="shared" si="4"/>
        <v>-1.8536961994657799E-14</v>
      </c>
      <c r="C65" s="42"/>
      <c r="D65" s="42"/>
      <c r="E65" s="42"/>
      <c r="F65" s="42"/>
      <c r="G65" s="42"/>
      <c r="H65" s="42"/>
    </row>
    <row r="66" spans="1:8" x14ac:dyDescent="0.25">
      <c r="A66" s="46">
        <v>18</v>
      </c>
      <c r="B66" s="59">
        <f t="shared" si="4"/>
        <v>-1.9484200752584812E-14</v>
      </c>
      <c r="C66" s="42"/>
      <c r="D66" s="42"/>
      <c r="E66" s="42"/>
      <c r="F66" s="42"/>
      <c r="G66" s="42"/>
      <c r="H66" s="42"/>
    </row>
    <row r="67" spans="1:8" x14ac:dyDescent="0.25">
      <c r="A67" s="46">
        <v>19</v>
      </c>
      <c r="B67" s="59">
        <f t="shared" si="4"/>
        <v>-2.0479843411041899E-14</v>
      </c>
      <c r="C67" s="42"/>
      <c r="D67" s="42"/>
      <c r="E67" s="42"/>
      <c r="F67" s="42"/>
      <c r="G67" s="42"/>
      <c r="H67" s="42"/>
    </row>
    <row r="68" spans="1:8" x14ac:dyDescent="0.25">
      <c r="A68" s="46">
        <v>20</v>
      </c>
      <c r="B68" s="59">
        <f t="shared" si="4"/>
        <v>-2.1526363409346139E-14</v>
      </c>
      <c r="C68" s="42"/>
      <c r="D68" s="42"/>
      <c r="E68" s="42"/>
      <c r="F68" s="42"/>
      <c r="G68" s="42"/>
      <c r="H68" s="42"/>
    </row>
    <row r="69" spans="1:8" x14ac:dyDescent="0.25">
      <c r="A69" s="46">
        <v>21</v>
      </c>
      <c r="B69" s="59">
        <f t="shared" si="4"/>
        <v>-2.2626360579563728E-14</v>
      </c>
      <c r="C69" s="42"/>
      <c r="D69" s="42"/>
      <c r="E69" s="42"/>
      <c r="F69" s="42"/>
      <c r="G69" s="42"/>
      <c r="H69" s="42"/>
    </row>
    <row r="70" spans="1:8" x14ac:dyDescent="0.25">
      <c r="A70" s="46">
        <v>22</v>
      </c>
      <c r="B70" s="59">
        <f t="shared" si="4"/>
        <v>-2.3782567605179436E-14</v>
      </c>
      <c r="C70" s="42"/>
      <c r="D70" s="42"/>
      <c r="E70" s="42"/>
      <c r="F70" s="42"/>
      <c r="G70" s="42"/>
      <c r="H70" s="42"/>
    </row>
    <row r="71" spans="1:8" x14ac:dyDescent="0.25">
      <c r="A71" s="46">
        <v>23</v>
      </c>
      <c r="B71" s="59">
        <f t="shared" si="4"/>
        <v>-2.4997856809804104E-14</v>
      </c>
      <c r="C71" s="42"/>
      <c r="D71" s="42"/>
      <c r="E71" s="42"/>
      <c r="F71" s="42"/>
      <c r="G71" s="42"/>
      <c r="H71" s="42"/>
    </row>
    <row r="72" spans="1:8" x14ac:dyDescent="0.25">
      <c r="A72" s="46">
        <v>24</v>
      </c>
      <c r="B72" s="59">
        <f t="shared" si="4"/>
        <v>-2.6275247292785097E-14</v>
      </c>
      <c r="C72" s="42"/>
      <c r="D72" s="42"/>
      <c r="E72" s="42"/>
      <c r="F72" s="42"/>
      <c r="G72" s="42"/>
      <c r="H72" s="42"/>
    </row>
    <row r="73" spans="1:8" x14ac:dyDescent="0.25">
      <c r="A73" s="46">
        <v>25</v>
      </c>
      <c r="B73" s="59">
        <f t="shared" si="4"/>
        <v>-2.7617912429446417E-14</v>
      </c>
      <c r="C73" s="42"/>
      <c r="D73" s="42"/>
      <c r="E73" s="42"/>
      <c r="F73" s="42"/>
      <c r="G73" s="42"/>
      <c r="H73" s="42"/>
    </row>
    <row r="74" spans="1:8" x14ac:dyDescent="0.25">
      <c r="A74" s="46">
        <v>26</v>
      </c>
      <c r="B74" s="59">
        <f t="shared" si="4"/>
        <v>-2.9029187754591126E-14</v>
      </c>
      <c r="C74" s="42"/>
      <c r="D74" s="42"/>
      <c r="E74" s="42"/>
      <c r="F74" s="42"/>
      <c r="G74" s="42"/>
      <c r="H74" s="42"/>
    </row>
    <row r="75" spans="1:8" x14ac:dyDescent="0.25">
      <c r="A75" s="46">
        <v>27</v>
      </c>
      <c r="B75" s="59">
        <f t="shared" si="4"/>
        <v>-3.0512579248850732E-14</v>
      </c>
      <c r="C75" s="42"/>
      <c r="D75" s="42"/>
      <c r="E75" s="42"/>
      <c r="F75" s="42"/>
      <c r="G75" s="42"/>
      <c r="H75" s="42"/>
    </row>
    <row r="76" spans="1:8" x14ac:dyDescent="0.25">
      <c r="A76" s="46">
        <v>28</v>
      </c>
      <c r="B76" s="59">
        <f t="shared" si="4"/>
        <v>-3.2071772048467001E-14</v>
      </c>
      <c r="C76" s="42"/>
      <c r="D76" s="42"/>
      <c r="E76" s="42"/>
      <c r="F76" s="42"/>
      <c r="G76" s="42"/>
      <c r="H76" s="42"/>
    </row>
    <row r="77" spans="1:8" x14ac:dyDescent="0.25">
      <c r="A77" s="46">
        <v>29</v>
      </c>
      <c r="B77" s="59">
        <f t="shared" si="4"/>
        <v>-3.3710639600143668E-14</v>
      </c>
      <c r="C77" s="42"/>
      <c r="D77" s="42"/>
      <c r="E77" s="42"/>
      <c r="F77" s="42"/>
      <c r="G77" s="42"/>
      <c r="H77" s="42"/>
    </row>
    <row r="78" spans="1:8" x14ac:dyDescent="0.25">
      <c r="A78" s="46">
        <v>30</v>
      </c>
      <c r="B78" s="59">
        <f t="shared" si="4"/>
        <v>-3.5433253283711011E-14</v>
      </c>
      <c r="C78" s="42"/>
      <c r="D78" s="42"/>
      <c r="E78" s="42"/>
      <c r="F78" s="42"/>
      <c r="G78" s="42"/>
      <c r="H78" s="42"/>
    </row>
    <row r="79" spans="1:8" x14ac:dyDescent="0.25">
      <c r="A79" s="45"/>
      <c r="B79" s="59">
        <f t="shared" si="4"/>
        <v>-3.7243892526508646E-14</v>
      </c>
      <c r="C79" s="42"/>
      <c r="D79" s="42"/>
      <c r="E79" s="42"/>
      <c r="F79" s="42"/>
      <c r="G79" s="42"/>
      <c r="H79" s="42"/>
    </row>
    <row r="80" spans="1:8" x14ac:dyDescent="0.25">
      <c r="A80" s="45"/>
      <c r="B80" s="42"/>
      <c r="C80" s="42"/>
      <c r="D80" s="42"/>
      <c r="E80" s="42"/>
      <c r="F80" s="42"/>
      <c r="G80" s="42"/>
      <c r="H80" s="42"/>
    </row>
    <row r="81" spans="1:8" x14ac:dyDescent="0.25">
      <c r="A81" s="45"/>
      <c r="B81" s="42"/>
      <c r="C81" s="42"/>
      <c r="D81" s="42"/>
      <c r="E81" s="42"/>
      <c r="F81" s="42"/>
      <c r="G81" s="42"/>
      <c r="H81" s="42"/>
    </row>
    <row r="82" spans="1:8" ht="18.600000000000001" thickBot="1" x14ac:dyDescent="0.45">
      <c r="A82" s="60" t="s">
        <v>44</v>
      </c>
      <c r="B82" s="59">
        <f>B49+(B50/(1+B$12)^(A50-A$49))+(B51/((1+B$12)^(A51-A$49)))+(B52/((1+B$12)^(A52-A$49)))+(B53/((1+B$12)^(A53-A$49)))+(B54/((1+B$12)^(A54-A$49)))+(B55/((1+B$12)^(A55-A$49)))+(B56/((1+B$12)^(A56-A$49)))+(B57/((1+B$12)^(A57-A$49)))+(B58/((1+B$12)^(A58-A$49)))+(B59/((1+B$12)^(A59-A$49)))+(B60/((1+B$12)^(A60-A$49)))+(B61/((1+B$12)^(A61-A$49)))+(B62/((1+B$12)^(A62-A$49)))+(B63/((1+B$12)^(A63-A$49)))+(B64/((1+B$12)^(A64-A$49)))+(B65/((1+B$12)^(A65-A$49)))+(B66/((1+B$12)^(A66-A$49)))+(B67/((1+B$12)^(A67-A$49)))+(B68/((1+B$12)^(A68-A$49)+(B69/((1+B$12)^(A69-A$49)+(B70/((1+B$12)^(A70-A$49)+(B71/((1+B$12)^(A71-A$49)+(B72/((1+B$12)^(A72-A$49)+(B73/((1+B$12)^(A73-A$49)+(B74/((1+B$12)^(A74-A$49)+(B75/((1+B$12)^(A75-A$49)+(B76/((1+B$12)^(A76-A$49)+(B77/((1+B$12)^(A77-A$49)+(B78/((1+B$12)^(A78-A$49)))))))))))))))))))))))</f>
        <v>362.43927770149151</v>
      </c>
      <c r="C82" s="42"/>
      <c r="D82" s="42"/>
      <c r="E82" s="42"/>
      <c r="F82" s="42"/>
      <c r="G82" s="42"/>
      <c r="H82" s="42"/>
    </row>
    <row r="83" spans="1:8" ht="13.8" thickBot="1" x14ac:dyDescent="0.3">
      <c r="A83" s="46" t="s">
        <v>45</v>
      </c>
      <c r="B83" s="61">
        <v>0</v>
      </c>
      <c r="C83" s="42"/>
      <c r="D83" s="42"/>
      <c r="E83" s="42"/>
      <c r="F83" s="42"/>
      <c r="G83" s="42"/>
      <c r="H83" s="42"/>
    </row>
    <row r="84" spans="1:8" x14ac:dyDescent="0.25">
      <c r="A84" s="45"/>
      <c r="B84" s="42"/>
      <c r="C84" s="42"/>
      <c r="D84" s="42"/>
      <c r="E84" s="42"/>
      <c r="F84" s="42"/>
      <c r="G84" s="42"/>
      <c r="H84" s="42"/>
    </row>
    <row r="85" spans="1:8" x14ac:dyDescent="0.25">
      <c r="A85" s="62" t="s">
        <v>46</v>
      </c>
      <c r="B85" s="63">
        <f>B82-B83</f>
        <v>362.43927770149151</v>
      </c>
      <c r="C85" s="42"/>
      <c r="D85" s="42"/>
      <c r="E85" s="42"/>
      <c r="F85" s="42"/>
      <c r="G85" s="42"/>
      <c r="H85" s="42"/>
    </row>
  </sheetData>
  <sheetProtection algorithmName="SHA-512" hashValue="VvmcyzQpXr836MA29K5/3Z7E6XDZujmDUfbu+8aDED+t1on+sB0hv4oQkpLt9dT+s+VYSUU6ILmhhykAM9EcwQ==" saltValue="Nm6e2qB4tbDcP1l6DI952A==" spinCount="100000" sheet="1" objects="1" scenarios="1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40994-685A-4049-9D62-278E74324ADB}">
  <dimension ref="A1:A7"/>
  <sheetViews>
    <sheetView workbookViewId="0">
      <selection activeCell="C18" sqref="C18"/>
    </sheetView>
  </sheetViews>
  <sheetFormatPr defaultRowHeight="13.2" x14ac:dyDescent="0.25"/>
  <cols>
    <col min="1" max="1" width="10.5546875" bestFit="1" customWidth="1"/>
  </cols>
  <sheetData>
    <row r="1" spans="1:1" x14ac:dyDescent="0.25">
      <c r="A1" t="s">
        <v>13</v>
      </c>
    </row>
    <row r="2" spans="1:1" x14ac:dyDescent="0.25">
      <c r="A2">
        <v>12</v>
      </c>
    </row>
    <row r="3" spans="1:1" x14ac:dyDescent="0.25">
      <c r="A3">
        <v>4</v>
      </c>
    </row>
    <row r="4" spans="1:1" x14ac:dyDescent="0.25">
      <c r="A4">
        <v>3</v>
      </c>
    </row>
    <row r="5" spans="1:1" x14ac:dyDescent="0.25">
      <c r="A5">
        <v>2</v>
      </c>
    </row>
    <row r="6" spans="1:1" x14ac:dyDescent="0.25">
      <c r="A6">
        <v>1</v>
      </c>
    </row>
    <row r="7" spans="1:1" x14ac:dyDescent="0.25">
      <c r="A7">
        <v>0</v>
      </c>
    </row>
  </sheetData>
  <dataValidations count="1">
    <dataValidation type="whole" operator="lessThanOrEqual" allowBlank="1" showInputMessage="1" showErrorMessage="1" sqref="B12:B13" xr:uid="{6E3A05E9-469A-4E8C-8681-237D70D34F89}">
      <formula1>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FNC-ORD_prospetto riassuntivo</vt:lpstr>
      <vt:lpstr>FNC-ORD_contributo interessi</vt:lpstr>
      <vt:lpstr>FNC-ORD_ESL riassicurazione</vt:lpstr>
      <vt:lpstr>Frequenza rate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Gusella</dc:creator>
  <cp:lastModifiedBy>Confidi UNI.CO.</cp:lastModifiedBy>
  <dcterms:created xsi:type="dcterms:W3CDTF">2020-04-27T16:01:26Z</dcterms:created>
  <dcterms:modified xsi:type="dcterms:W3CDTF">2024-09-09T13:48:18Z</dcterms:modified>
</cp:coreProperties>
</file>