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W:\5.4 P.M.Org.IT\PIATTAFORMA BANDI MARCHE\bandi\FNC\Allegati Reg\"/>
    </mc:Choice>
  </mc:AlternateContent>
  <xr:revisionPtr revIDLastSave="0" documentId="8_{5874545D-CC8F-4794-895C-5093823B8B6B}" xr6:coauthVersionLast="47" xr6:coauthVersionMax="47" xr10:uidLastSave="{00000000-0000-0000-0000-000000000000}"/>
  <workbookProtection workbookAlgorithmName="SHA-512" workbookHashValue="QPsXzOK2uj1kHmr4sac0ylCa/v8thYYLXNXWJTgLGinAiefbGXq+mmiiQVPVA/NFW4EF1XygCoaTxJ/c9dB0hQ==" workbookSaltValue="HgrCrNBdnTvd8xHx+xp0sA==" workbookSpinCount="100000" lockStructure="1"/>
  <bookViews>
    <workbookView xWindow="-120" yWindow="-120" windowWidth="29040" windowHeight="15840" tabRatio="847" xr2:uid="{00000000-000D-0000-FFFF-FFFF00000000}"/>
  </bookViews>
  <sheets>
    <sheet name="FNC-ORD_prospetto riassuntivo" sheetId="15" r:id="rId1"/>
    <sheet name="FNC-ORD_contributo interessi" sheetId="20" r:id="rId2"/>
    <sheet name="FNC-ORD_ESL riassicurazione" sheetId="21" r:id="rId3"/>
    <sheet name="Frequenza rate" sheetId="10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5" l="1"/>
  <c r="B14" i="15"/>
  <c r="A42" i="15" s="1"/>
  <c r="B32" i="15" l="1"/>
  <c r="B12" i="21"/>
  <c r="B11" i="21" l="1"/>
  <c r="B4" i="21" l="1"/>
  <c r="B9" i="21"/>
  <c r="B8" i="21"/>
  <c r="B16" i="21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E23" i="21"/>
  <c r="E22" i="21"/>
  <c r="E21" i="21"/>
  <c r="D16" i="21"/>
  <c r="B17" i="21" s="1"/>
  <c r="C17" i="21" s="1"/>
  <c r="D17" i="21" s="1"/>
  <c r="B18" i="21" s="1"/>
  <c r="E20" i="21"/>
  <c r="E19" i="21"/>
  <c r="E18" i="21"/>
  <c r="A41" i="15"/>
  <c r="B20" i="15"/>
  <c r="B19" i="15"/>
  <c r="B27" i="15" s="1"/>
  <c r="A20" i="15"/>
  <c r="A19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6" i="15" s="1"/>
  <c r="C45" i="21"/>
  <c r="D45" i="21" s="1"/>
  <c r="B46" i="21" s="1"/>
  <c r="B79" i="21" s="1"/>
  <c r="B28" i="15" l="1"/>
  <c r="B26" i="15"/>
  <c r="B23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A15" i="20" l="1"/>
  <c r="H14" i="20"/>
  <c r="B14" i="20" s="1"/>
  <c r="G13" i="20"/>
  <c r="D13" i="20"/>
  <c r="D14" i="20" l="1"/>
  <c r="G14" i="20"/>
  <c r="H15" i="20"/>
  <c r="B15" i="20" s="1"/>
  <c r="A16" i="20"/>
  <c r="A17" i="20" l="1"/>
  <c r="H16" i="20"/>
  <c r="B16" i="20" s="1"/>
  <c r="G15" i="20"/>
  <c r="D15" i="20"/>
  <c r="D16" i="20" l="1"/>
  <c r="G16" i="20"/>
  <c r="H17" i="20"/>
  <c r="B17" i="20" s="1"/>
  <c r="A18" i="20"/>
  <c r="A19" i="20" l="1"/>
  <c r="H18" i="20"/>
  <c r="B18" i="20" s="1"/>
  <c r="G17" i="20"/>
  <c r="D17" i="20"/>
  <c r="D18" i="20" l="1"/>
  <c r="G18" i="20"/>
  <c r="H19" i="20"/>
  <c r="B19" i="20" s="1"/>
  <c r="A20" i="20"/>
  <c r="A21" i="20" l="1"/>
  <c r="H20" i="20"/>
  <c r="B20" i="20" s="1"/>
  <c r="G19" i="20"/>
  <c r="D19" i="20"/>
  <c r="D20" i="20" l="1"/>
  <c r="G20" i="20"/>
  <c r="H21" i="20"/>
  <c r="B21" i="20" s="1"/>
  <c r="A22" i="20"/>
  <c r="G21" i="20" l="1"/>
  <c r="D21" i="20"/>
  <c r="A23" i="20"/>
  <c r="H22" i="20"/>
  <c r="B22" i="20" s="1"/>
  <c r="D22" i="20" l="1"/>
  <c r="G22" i="20"/>
  <c r="H23" i="20"/>
  <c r="B23" i="20" s="1"/>
  <c r="A24" i="20"/>
  <c r="A25" i="20" l="1"/>
  <c r="H24" i="20"/>
  <c r="B24" i="20" s="1"/>
  <c r="G23" i="20"/>
  <c r="D23" i="20"/>
  <c r="D24" i="20" l="1"/>
  <c r="G24" i="20"/>
  <c r="H25" i="20"/>
  <c r="B25" i="20" s="1"/>
  <c r="A26" i="20"/>
  <c r="H26" i="20" l="1"/>
  <c r="B26" i="20" s="1"/>
  <c r="J3" i="20"/>
  <c r="G25" i="20"/>
  <c r="D25" i="20"/>
  <c r="Q3" i="20" l="1"/>
  <c r="K3" i="20" s="1"/>
  <c r="J4" i="20"/>
  <c r="D26" i="20"/>
  <c r="G26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3" i="15" s="1"/>
  <c r="B34" i="15" s="1"/>
  <c r="B37" i="15" s="1"/>
  <c r="L98" i="20"/>
  <c r="N98" i="20" s="1"/>
  <c r="O9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1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4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5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<sst xmlns="http://schemas.openxmlformats.org/spreadsheetml/2006/main" count="68" uniqueCount="59">
  <si>
    <t>DETERMINAZIONE DELL'INTENSITA' DI AIUTO</t>
  </si>
  <si>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</si>
  <si>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</si>
  <si>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</si>
  <si>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</si>
  <si>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</si>
  <si>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</si>
  <si>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</si>
  <si>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</si>
  <si>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</si>
  <si>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</si>
  <si>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</si>
  <si>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</si>
  <si>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</si>
  <si>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</si>
  <si>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</si>
  <si>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</si>
  <si>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</si>
  <si>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</si>
  <si>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</si>
  <si>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NO</t>
  </si>
  <si>
    <t>Premialità TAN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</si>
  <si>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</si>
  <si>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</si>
  <si>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</si>
  <si>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</si>
  <si>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</si>
  <si>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</si>
  <si>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</si>
  <si>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ESL riassicurazione FNC-ORD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</si>
  <si>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</si>
  <si>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</si>
  <si>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</si>
  <si>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</si>
  <si>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</si>
  <si>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</si>
  <si>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</si>
  <si>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</si>
  <si>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</si>
  <si>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</si>
  <si>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</si>
  <si>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</si>
  <si>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</si>
  <si>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</si>
  <si>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</si>
  <si>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</si>
  <si>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</si>
  <si>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</si>
  <si>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</si>
  <si>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</si>
  <si>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</si>
  <si>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</si>
  <si>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Totale oneri Confidi (ad esclusione di azioni/quote/pegni/cauzioni)</t>
  </si>
  <si>
    <t>Altri oneri Confidi applicabili (ad eccezione della commissione di garanzia)</t>
  </si>
  <si>
    <t>Presenza FCG</t>
  </si>
  <si>
    <t>Percentuale garanzia I grado con FNC-ORD</t>
  </si>
  <si>
    <t>Percentuale garanzia I grado (totale)</t>
  </si>
  <si>
    <t>Percentuale garanzia I grado con FCG (se presente)</t>
  </si>
  <si>
    <t>versione 14/03/2024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</si>
</sst>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</numFmts>
  <fonts count="24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9"/>
      <color indexed="81"/>
      <name val="Tahoma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u/>
      <sz val="10.5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3" fontId="7" fillId="0" borderId="1" xfId="0" applyNumberFormat="1" applyFont="1" applyBorder="1" applyAlignment="1" applyProtection="1">
      <alignment horizontal="left" vertical="center" wrapText="1"/>
      <protection hidden="1"/>
    </xf>
    <xf numFmtId="3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3" fontId="3" fillId="0" borderId="7" xfId="0" applyNumberFormat="1" applyFont="1" applyBorder="1" applyAlignment="1" applyProtection="1">
      <alignment horizontal="left" vertical="center" wrapText="1"/>
      <protection hidden="1"/>
    </xf>
    <xf numFmtId="3" fontId="3" fillId="0" borderId="6" xfId="0" applyNumberFormat="1" applyFont="1" applyBorder="1" applyAlignment="1" applyProtection="1">
      <alignment horizontal="left" vertical="center" wrapText="1"/>
      <protection hidden="1"/>
    </xf>
    <xf numFmtId="3" fontId="3" fillId="0" borderId="7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3" fontId="3" fillId="0" borderId="6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3" fontId="7" fillId="0" borderId="8" xfId="0" applyNumberFormat="1" applyFont="1" applyBorder="1" applyAlignment="1" applyProtection="1">
      <alignment horizontal="left" vertical="center"/>
      <protection hidden="1"/>
    </xf>
    <xf numFmtId="43" fontId="4" fillId="0" borderId="1" xfId="2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0" fontId="8" fillId="0" borderId="7" xfId="3" applyNumberFormat="1" applyFont="1" applyFill="1" applyBorder="1" applyAlignment="1" applyProtection="1">
      <alignment vertical="center"/>
      <protection locked="0"/>
    </xf>
    <xf numFmtId="43" fontId="0" fillId="0" borderId="0" xfId="2" applyFont="1"/>
    <xf numFmtId="3" fontId="7" fillId="0" borderId="6" xfId="0" applyNumberFormat="1" applyFont="1" applyBorder="1" applyAlignment="1" applyProtection="1">
      <alignment horizontal="left" vertical="center" wrapText="1"/>
      <protection hidden="1"/>
    </xf>
    <xf numFmtId="43" fontId="4" fillId="0" borderId="6" xfId="2" applyFont="1" applyFill="1" applyBorder="1" applyAlignment="1" applyProtection="1">
      <alignment vertical="center"/>
      <protection locked="0"/>
    </xf>
    <xf numFmtId="9" fontId="4" fillId="0" borderId="6" xfId="3" applyFont="1" applyFill="1" applyBorder="1" applyAlignment="1" applyProtection="1">
      <alignment vertical="center"/>
      <protection locked="0"/>
    </xf>
    <xf numFmtId="1" fontId="4" fillId="0" borderId="6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/>
      <protection hidden="1"/>
    </xf>
    <xf numFmtId="10" fontId="3" fillId="0" borderId="6" xfId="3" applyNumberFormat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0" fontId="3" fillId="0" borderId="6" xfId="0" applyNumberFormat="1" applyFont="1" applyBorder="1" applyAlignment="1">
      <alignment vertical="center"/>
    </xf>
    <xf numFmtId="10" fontId="7" fillId="0" borderId="8" xfId="3" applyNumberFormat="1" applyFont="1" applyFill="1" applyBorder="1" applyAlignment="1" applyProtection="1">
      <alignment horizontal="right" vertical="center"/>
    </xf>
    <xf numFmtId="3" fontId="7" fillId="0" borderId="9" xfId="0" applyNumberFormat="1" applyFont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43" fontId="3" fillId="3" borderId="1" xfId="2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wrapText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172" fontId="14" fillId="0" borderId="0" xfId="2" applyNumberFormat="1" applyFont="1" applyFill="1" applyBorder="1" applyAlignment="1" applyProtection="1">
      <protection hidden="1"/>
    </xf>
    <xf numFmtId="171" fontId="14" fillId="0" borderId="0" xfId="0" applyNumberFormat="1" applyFont="1" applyProtection="1">
      <protection hidden="1"/>
    </xf>
    <xf numFmtId="172" fontId="14" fillId="0" borderId="0" xfId="0" applyNumberFormat="1" applyFont="1" applyAlignment="1" applyProtection="1">
      <alignment horizontal="right"/>
      <protection hidden="1"/>
    </xf>
    <xf numFmtId="172" fontId="14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6" fillId="7" borderId="0" xfId="0" applyFont="1" applyFill="1" applyAlignment="1" applyProtection="1">
      <alignment horizontal="right"/>
      <protection hidden="1"/>
    </xf>
    <xf numFmtId="171" fontId="16" fillId="7" borderId="0" xfId="0" applyNumberFormat="1" applyFont="1" applyFill="1" applyProtection="1">
      <protection hidden="1"/>
    </xf>
    <xf numFmtId="168" fontId="13" fillId="7" borderId="10" xfId="0" applyNumberFormat="1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horizontal="left" vertical="center"/>
      <protection hidden="1"/>
    </xf>
    <xf numFmtId="43" fontId="7" fillId="3" borderId="1" xfId="2" applyFont="1" applyFill="1" applyBorder="1" applyAlignment="1" applyProtection="1">
      <alignment horizontal="right" vertical="center"/>
    </xf>
    <xf numFmtId="3" fontId="6" fillId="4" borderId="9" xfId="0" applyNumberFormat="1" applyFont="1" applyFill="1" applyBorder="1" applyAlignment="1" applyProtection="1">
      <alignment horizontal="left" vertical="center"/>
      <protection hidden="1"/>
    </xf>
    <xf numFmtId="43" fontId="6" fillId="4" borderId="9" xfId="2" applyFont="1" applyFill="1" applyBorder="1" applyAlignment="1" applyProtection="1">
      <alignment horizontal="right" vertical="center"/>
    </xf>
    <xf numFmtId="3" fontId="6" fillId="6" borderId="5" xfId="0" applyNumberFormat="1" applyFont="1" applyFill="1" applyBorder="1" applyAlignment="1" applyProtection="1">
      <alignment horizontal="left" vertical="center"/>
      <protection hidden="1"/>
    </xf>
    <xf numFmtId="43" fontId="6" fillId="6" borderId="5" xfId="2" applyFont="1" applyFill="1" applyBorder="1" applyAlignment="1" applyProtection="1">
      <alignment horizontal="right" vertical="center"/>
    </xf>
    <xf numFmtId="3" fontId="7" fillId="0" borderId="7" xfId="0" applyNumberFormat="1" applyFont="1" applyBorder="1" applyAlignment="1" applyProtection="1">
      <alignment horizontal="left" vertical="center"/>
      <protection hidden="1"/>
    </xf>
    <xf numFmtId="3" fontId="6" fillId="5" borderId="8" xfId="0" applyNumberFormat="1" applyFont="1" applyFill="1" applyBorder="1" applyAlignment="1" applyProtection="1">
      <alignment horizontal="left" vertical="center"/>
      <protection hidden="1"/>
    </xf>
    <xf numFmtId="43" fontId="6" fillId="5" borderId="8" xfId="2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 wrapText="1"/>
      <protection hidden="1"/>
    </xf>
    <xf numFmtId="10" fontId="17" fillId="0" borderId="0" xfId="0" applyNumberFormat="1" applyFont="1"/>
    <xf numFmtId="170" fontId="17" fillId="0" borderId="0" xfId="0" applyNumberFormat="1" applyFont="1"/>
    <xf numFmtId="43" fontId="17" fillId="0" borderId="0" xfId="2" applyFont="1" applyFill="1" applyBorder="1" applyAlignment="1" applyProtection="1"/>
    <xf numFmtId="1" fontId="17" fillId="0" borderId="0" xfId="0" applyNumberFormat="1" applyFont="1"/>
    <xf numFmtId="10" fontId="17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43" fontId="8" fillId="0" borderId="9" xfId="2" applyFont="1" applyFill="1" applyBorder="1" applyAlignment="1" applyProtection="1">
      <alignment horizontal="right" vertical="center"/>
      <protection locked="0"/>
    </xf>
    <xf numFmtId="10" fontId="8" fillId="0" borderId="7" xfId="3" applyNumberFormat="1" applyFont="1" applyFill="1" applyBorder="1" applyAlignment="1" applyProtection="1">
      <alignment horizontal="right" vertical="center"/>
      <protection locked="0"/>
    </xf>
    <xf numFmtId="9" fontId="3" fillId="0" borderId="6" xfId="3" applyFont="1" applyFill="1" applyBorder="1" applyAlignment="1" applyProtection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58483</xdr:rowOff>
    </xdr:from>
    <xdr:to>
      <xdr:col>0</xdr:col>
      <xdr:colOff>1313217</xdr:colOff>
      <xdr:row>46</xdr:row>
      <xdr:rowOff>21796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9565"/>
          <a:ext cx="1313217" cy="652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93643</xdr:colOff>
      <xdr:row>6</xdr:row>
      <xdr:rowOff>59429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0113"/>
        <a:stretch/>
      </xdr:blipFill>
      <xdr:spPr bwMode="auto">
        <a:xfrm>
          <a:off x="0" y="0"/>
          <a:ext cx="7545555" cy="10679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8:L42"/>
  <sheetViews>
    <sheetView tabSelected="1" zoomScale="85" zoomScaleNormal="85" workbookViewId="0">
      <selection activeCell="D9" sqref="D9"/>
    </sheetView>
  </sheetViews>
  <sheetFormatPr defaultRowHeight="13.5" x14ac:dyDescent="0.25"/>
  <cols>
    <col min="1" max="1" width="58.85546875" bestFit="1" customWidth="1"/>
    <col min="2" max="2" width="11.28515625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2.5703125" bestFit="1" customWidth="1"/>
    <col min="8" max="8" width="2.140625" bestFit="1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4" customWidth="1"/>
    <col min="15" max="15" width="13.7109375" customWidth="1"/>
    <col min="16" max="16" width="42.5703125" bestFit="1" customWidth="1"/>
    <col min="17" max="17" width="2.140625" bestFit="1" customWidth="1"/>
  </cols>
  <sheetData>
    <row r="8" spans="1:11" ht="28.5" x14ac:dyDescent="0.25">
      <c r="A8" s="37" t="s">
        <v>0</v>
      </c>
      <c r="B8" s="37"/>
      <c r="C8" s="37"/>
      <c r="D8" s="37" t="s">
        <v>58</v>
      </c>
      <c r="E8" s="37"/>
      <c r="F8" s="37"/>
      <c r="G8" s="37"/>
      <c r="H8" s="37"/>
      <c r="I8" s="37"/>
      <c r="J8" s="37"/>
      <c r="K8" s="37"/>
    </row>
    <row r="9" spans="1:11" ht="14.25" x14ac:dyDescent="0.25">
      <c r="A9" s="74" t="s">
        <v>51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14.2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5" t="s">
        <v>18</v>
      </c>
      <c r="B11" s="17">
        <v>50000</v>
      </c>
      <c r="C11" s="2"/>
      <c r="D11" s="2"/>
      <c r="E11" s="4"/>
    </row>
    <row r="12" spans="1:11" x14ac:dyDescent="0.25">
      <c r="A12" s="23" t="s">
        <v>55</v>
      </c>
      <c r="B12" s="25">
        <v>0.6</v>
      </c>
      <c r="C12" s="2"/>
      <c r="D12" s="2"/>
      <c r="E12" s="4"/>
    </row>
    <row r="13" spans="1:11" x14ac:dyDescent="0.25">
      <c r="A13" s="23" t="s">
        <v>57</v>
      </c>
      <c r="B13" s="25">
        <v>0</v>
      </c>
      <c r="C13" s="2"/>
      <c r="D13" s="2"/>
      <c r="E13" s="4"/>
    </row>
    <row r="14" spans="1:11" x14ac:dyDescent="0.25">
      <c r="A14" s="23" t="s">
        <v>56</v>
      </c>
      <c r="B14" s="89">
        <f>+B12+B13</f>
        <v>0.6</v>
      </c>
      <c r="C14" s="2"/>
      <c r="D14" s="2"/>
      <c r="E14" s="4"/>
    </row>
    <row r="15" spans="1:11" x14ac:dyDescent="0.25">
      <c r="A15" s="23" t="s">
        <v>22</v>
      </c>
      <c r="B15" s="25">
        <v>0.05</v>
      </c>
      <c r="C15" s="2"/>
      <c r="D15" s="2"/>
      <c r="E15" s="4"/>
    </row>
    <row r="16" spans="1:11" x14ac:dyDescent="0.25">
      <c r="A16" s="23" t="s">
        <v>25</v>
      </c>
      <c r="B16" s="26">
        <v>96</v>
      </c>
      <c r="C16" s="2"/>
      <c r="D16" s="2"/>
      <c r="E16" s="4"/>
    </row>
    <row r="17" spans="1:12" x14ac:dyDescent="0.25">
      <c r="A17" s="23" t="s">
        <v>21</v>
      </c>
      <c r="B17" s="24" t="s">
        <v>20</v>
      </c>
      <c r="C17" s="2"/>
      <c r="D17" s="2"/>
      <c r="E17" s="4"/>
    </row>
    <row r="18" spans="1:12" x14ac:dyDescent="0.25">
      <c r="A18" s="23" t="s">
        <v>54</v>
      </c>
      <c r="B18" s="24" t="s">
        <v>20</v>
      </c>
      <c r="C18" s="2"/>
      <c r="D18" s="2"/>
      <c r="E18" s="4"/>
    </row>
    <row r="19" spans="1:12" x14ac:dyDescent="0.25">
      <c r="A19" s="9" t="str">
        <f>IF(B17="NO","TAN (max 4%) - pre amm.to","TAN (max 4,5%) - pre amm.to")</f>
        <v>TAN (max 4%) - pre amm.to</v>
      </c>
      <c r="B19" s="28">
        <f>IF(B17="NO",MIN(4%,B15),MIN(4.5%,B15))</f>
        <v>0.04</v>
      </c>
      <c r="C19" s="2"/>
      <c r="D19" s="2"/>
      <c r="E19" s="4"/>
    </row>
    <row r="20" spans="1:12" ht="14.25" thickBot="1" x14ac:dyDescent="0.3">
      <c r="A20" s="9" t="str">
        <f>IF(B17="NO","TAN (max 4%) - amm.to","TAN (max 4,5%) - amm.to")</f>
        <v>TAN (max 4%) - amm.to</v>
      </c>
      <c r="B20" s="28">
        <f>IF(B17="NO",MIN(4%,B15),MIN(4.5%,B15))</f>
        <v>0.04</v>
      </c>
      <c r="C20" s="2"/>
      <c r="D20" s="2"/>
    </row>
    <row r="21" spans="1:12" ht="15" customHeight="1" x14ac:dyDescent="0.25">
      <c r="A21" s="10" t="s">
        <v>10</v>
      </c>
      <c r="B21" s="18">
        <v>12</v>
      </c>
      <c r="C21" s="2"/>
      <c r="D21" s="2"/>
    </row>
    <row r="22" spans="1:12" x14ac:dyDescent="0.25">
      <c r="A22" s="6" t="s">
        <v>23</v>
      </c>
      <c r="B22" s="19">
        <v>0</v>
      </c>
      <c r="C22" s="2"/>
      <c r="D22" s="2"/>
    </row>
    <row r="23" spans="1:12" ht="14.25" thickBot="1" x14ac:dyDescent="0.3">
      <c r="A23" s="11" t="s">
        <v>12</v>
      </c>
      <c r="B23" s="29">
        <f>B21*B22/12</f>
        <v>0</v>
      </c>
      <c r="C23" s="2"/>
      <c r="D23" s="2"/>
    </row>
    <row r="24" spans="1:12" x14ac:dyDescent="0.25">
      <c r="A24" s="12" t="s">
        <v>11</v>
      </c>
      <c r="B24" s="18">
        <v>12</v>
      </c>
      <c r="C24" s="2"/>
      <c r="D24" s="2"/>
    </row>
    <row r="25" spans="1:12" x14ac:dyDescent="0.25">
      <c r="A25" s="7" t="s">
        <v>24</v>
      </c>
      <c r="B25" s="20">
        <v>96</v>
      </c>
      <c r="C25" s="2"/>
      <c r="D25" s="2"/>
    </row>
    <row r="26" spans="1:12" ht="14.25" thickBot="1" x14ac:dyDescent="0.3">
      <c r="A26" s="13" t="s">
        <v>13</v>
      </c>
      <c r="B26" s="31">
        <f>B24*B25/12</f>
        <v>96</v>
      </c>
      <c r="C26" s="2"/>
      <c r="D26" s="2"/>
      <c r="F26" s="22"/>
      <c r="L26" s="3"/>
    </row>
    <row r="27" spans="1:12" x14ac:dyDescent="0.25">
      <c r="A27" s="8" t="s">
        <v>16</v>
      </c>
      <c r="B27" s="30">
        <f>IFERROR(B19/B21,0)</f>
        <v>3.3333333333333335E-3</v>
      </c>
    </row>
    <row r="28" spans="1:12" ht="14.25" thickBot="1" x14ac:dyDescent="0.3">
      <c r="A28" s="14" t="s">
        <v>15</v>
      </c>
      <c r="B28" s="32">
        <f>B20/B24</f>
        <v>3.3333333333333335E-3</v>
      </c>
    </row>
    <row r="29" spans="1:12" x14ac:dyDescent="0.25">
      <c r="A29" s="15" t="s">
        <v>19</v>
      </c>
      <c r="B29" s="21">
        <v>4.1099999999999998E-2</v>
      </c>
    </row>
    <row r="30" spans="1:12" ht="14.25" thickBot="1" x14ac:dyDescent="0.3">
      <c r="A30" s="16" t="s">
        <v>26</v>
      </c>
      <c r="B30" s="33">
        <v>0.01</v>
      </c>
    </row>
    <row r="31" spans="1:12" x14ac:dyDescent="0.25">
      <c r="A31" s="34" t="s">
        <v>53</v>
      </c>
      <c r="B31" s="87">
        <v>100</v>
      </c>
    </row>
    <row r="32" spans="1:12" x14ac:dyDescent="0.25">
      <c r="A32" s="35" t="s">
        <v>52</v>
      </c>
      <c r="B32" s="36">
        <f>MIN(5000,B31+B11*B14*B16/12*0.6%)</f>
        <v>1540</v>
      </c>
    </row>
    <row r="33" spans="1:2" x14ac:dyDescent="0.25">
      <c r="A33" s="65" t="s">
        <v>17</v>
      </c>
      <c r="B33" s="66">
        <f>MIN(10000,SUM('FNC-ORD_contributo interessi'!G3:G26,'FNC-ORD_contributo interessi'!P3:P98))</f>
        <v>7413.9470413202544</v>
      </c>
    </row>
    <row r="34" spans="1:2" ht="14.25" thickBot="1" x14ac:dyDescent="0.3">
      <c r="A34" s="67" t="s">
        <v>28</v>
      </c>
      <c r="B34" s="68">
        <f>B33+B32</f>
        <v>8953.9470413202544</v>
      </c>
    </row>
    <row r="35" spans="1:2" x14ac:dyDescent="0.25">
      <c r="A35" s="71" t="s">
        <v>50</v>
      </c>
      <c r="B35" s="88">
        <v>1.9300000000000001E-2</v>
      </c>
    </row>
    <row r="36" spans="1:2" ht="14.25" thickBot="1" x14ac:dyDescent="0.3">
      <c r="A36" s="72" t="s">
        <v>29</v>
      </c>
      <c r="B36" s="73">
        <f>'FNC-ORD_ESL riassicurazione'!D1</f>
        <v>2537.0749439104407</v>
      </c>
    </row>
    <row r="37" spans="1:2" x14ac:dyDescent="0.25">
      <c r="A37" s="69" t="s">
        <v>27</v>
      </c>
      <c r="B37" s="70">
        <f>+B34+B36</f>
        <v>11491.021985230695</v>
      </c>
    </row>
    <row r="40" spans="1:2" ht="14.25" x14ac:dyDescent="0.25">
      <c r="A40" s="27" t="str">
        <f>IF(AND(B18="NO",B13&gt;0%),"ATTENZIONE - E' STATO VALORIZZATO IL CAMPO Percentuale garanzia I grado con FCG (se presente) MA NON E' STATO VALORIZZATO CON SI IL CAMPO Presenza FCG",
IF(AND(B18="SI'",B13=0%),"ATTENZIONE - NON E' STATO VALORIZZATO IL CAMPO Percentuale garanzia I grado con FCG (se presente) MA E' STATO VALORIZZATO CON SI IL CAMPO Presenza FCG",
" "))</f>
        <v xml:space="preserve"> </v>
      </c>
    </row>
    <row r="41" spans="1:2" ht="14.25" x14ac:dyDescent="0.25">
      <c r="A41" s="27" t="str">
        <f>IF(B16=B22+B25," ","ATTENZIONE - E' STATA RIPORTATA UNA DURATA DEL FINANZIAMENTO NON COERENTE CON QUELLA DEL PREAMMORTAMENTO E DELL'AMMORTAMENTO")</f>
        <v xml:space="preserve"> </v>
      </c>
    </row>
    <row r="42" spans="1:2" ht="14.25" x14ac:dyDescent="0.25">
      <c r="A42" s="27" t="str">
        <f>IF(AND(B18="SI'",B14&gt;70%),"ATTENZIONE - LA PERCENTUALE DI GARANZIA DI I GRADO NON PUO' RISULTARE SUPERIORE AL 70% IN CASO DI COGARANZIA FCG"," ")</f>
        <v xml:space="preserve"> </v>
      </c>
    </row>
  </sheetData>
  <dataValidations count="9">
    <dataValidation type="decimal" allowBlank="1" showInputMessage="1" showErrorMessage="1" sqref="B11" xr:uid="{847BB09A-D7A7-4F3F-A5B3-D8FFC1AC0442}">
      <formula1>15000</formula1>
      <formula2>200000</formula2>
    </dataValidation>
    <dataValidation type="whole" operator="lessThanOrEqual" allowBlank="1" showInputMessage="1" showErrorMessage="1" sqref="B25 B16" xr:uid="{BDFD8104-B32A-496A-A62B-9AC0E93EE3E3}">
      <formula1>96</formula1>
    </dataValidation>
    <dataValidation operator="lessThanOrEqual" allowBlank="1" showInputMessage="1" showErrorMessage="1" sqref="B22" xr:uid="{E293D140-E769-4A2D-BAFD-5334441CBA0B}"/>
    <dataValidation type="decimal" operator="lessThanOrEqual" allowBlank="1" showInputMessage="1" showErrorMessage="1" sqref="B20" xr:uid="{EA2CC33E-A74D-48D9-AFD9-71C3F902A7A0}">
      <formula1>0.05</formula1>
    </dataValidation>
    <dataValidation type="decimal" operator="lessThanOrEqual" allowBlank="1" showInputMessage="1" showErrorMessage="1" sqref="B31:B32" xr:uid="{AE4603B0-1958-416E-A7CB-A1342B2094A9}">
      <formula1>5000</formula1>
    </dataValidation>
    <dataValidation type="decimal" operator="lessThanOrEqual" allowBlank="1" showInputMessage="1" showErrorMessage="1" sqref="B19" xr:uid="{E74F8D87-E86D-43B2-8405-69B7BF3AEB7C}">
      <formula1>0.0475</formula1>
    </dataValidation>
    <dataValidation type="decimal" operator="lessThanOrEqual" allowBlank="1" showInputMessage="1" showErrorMessage="1" sqref="B12:B14" xr:uid="{3996F018-B97D-484B-BF9F-0296A560B9AB}">
      <formula1>0.8</formula1>
    </dataValidation>
    <dataValidation type="list" allowBlank="1" showInputMessage="1" showErrorMessage="1" sqref="B17:B18" xr:uid="{A9F12257-86F9-43BD-98C0-01894ECF2764}">
      <formula1>"SI',NO"</formula1>
    </dataValidation>
    <dataValidation type="decimal" operator="greaterThan" allowBlank="1" showInputMessage="1" showErrorMessage="1" sqref="B15" xr:uid="{2003503F-71EC-43D0-AB61-0DD0F656F4D3}">
      <formula1>0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B21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30" sqref="F30"/>
    </sheetView>
  </sheetViews>
  <sheetFormatPr defaultRowHeight="13.5" x14ac:dyDescent="0.25"/>
  <cols>
    <col min="1" max="1" width="10.7109375" bestFit="1" customWidth="1"/>
    <col min="2" max="2" width="12.7109375" bestFit="1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0.5703125" customWidth="1"/>
    <col min="8" max="8" width="2" bestFit="1" customWidth="1"/>
    <col min="9" max="9" width="5.28515625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2" bestFit="1" customWidth="1"/>
    <col min="15" max="15" width="12.7109375" bestFit="1" customWidth="1"/>
    <col min="16" max="16" width="39.7109375" customWidth="1"/>
    <col min="17" max="17" width="2" bestFit="1" customWidth="1"/>
  </cols>
  <sheetData>
    <row r="1" spans="1:17" x14ac:dyDescent="0.25">
      <c r="A1" s="90" t="s">
        <v>1</v>
      </c>
      <c r="B1" s="91"/>
      <c r="C1" s="91"/>
      <c r="D1" s="91"/>
      <c r="E1" s="91"/>
      <c r="F1" s="91"/>
      <c r="G1" s="92"/>
      <c r="J1" s="90" t="s">
        <v>9</v>
      </c>
      <c r="K1" s="91"/>
      <c r="L1" s="91"/>
      <c r="M1" s="91"/>
      <c r="N1" s="91"/>
      <c r="O1" s="91"/>
      <c r="P1" s="92"/>
    </row>
    <row r="2" spans="1:17" x14ac:dyDescent="0.25">
      <c r="A2" s="82" t="s">
        <v>3</v>
      </c>
      <c r="B2" s="82" t="s">
        <v>4</v>
      </c>
      <c r="C2" s="82" t="s">
        <v>5</v>
      </c>
      <c r="D2" s="82" t="s">
        <v>6</v>
      </c>
      <c r="E2" s="82" t="s">
        <v>7</v>
      </c>
      <c r="F2" s="82" t="s">
        <v>8</v>
      </c>
      <c r="G2" s="83" t="s">
        <v>2</v>
      </c>
      <c r="J2" s="82" t="s">
        <v>3</v>
      </c>
      <c r="K2" s="82" t="s">
        <v>4</v>
      </c>
      <c r="L2" s="82" t="s">
        <v>5</v>
      </c>
      <c r="M2" s="82" t="s">
        <v>6</v>
      </c>
      <c r="N2" s="82" t="s">
        <v>7</v>
      </c>
      <c r="O2" s="82" t="s">
        <v>8</v>
      </c>
      <c r="P2" s="83" t="s">
        <v>2</v>
      </c>
    </row>
    <row r="3" spans="1:17" x14ac:dyDescent="0.25">
      <c r="A3" s="84">
        <f>IF('FNC-ORD_prospetto riassuntivo'!B23=0,0,1)</f>
        <v>0</v>
      </c>
      <c r="B3" s="85">
        <f>'FNC-ORD_prospetto riassuntivo'!$B$11*'FNC-ORD_prospetto riassuntivo'!$B$27*H3</f>
        <v>0</v>
      </c>
      <c r="C3" s="85">
        <v>0</v>
      </c>
      <c r="D3" s="85">
        <f t="shared" ref="D3:D26" si="0">B3</f>
        <v>0</v>
      </c>
      <c r="E3" s="85">
        <v>0</v>
      </c>
      <c r="F3" s="85">
        <f>'FNC-ORD_prospetto riassuntivo'!$B$11</f>
        <v>50000</v>
      </c>
      <c r="G3" s="85">
        <f>B3/((1+IFERROR(SUM('FNC-ORD_prospetto riassuntivo'!$B$29,'FNC-ORD_prospetto riassuntivo'!$B$30)/'FNC-ORD_prospetto riassuntivo'!$B$21,0))^A3)</f>
        <v>0</v>
      </c>
      <c r="H3">
        <f>IF(A3=0,0,IF(OR(A3&lt;'FNC-ORD_prospetto riassuntivo'!$B$23,A3='FNC-ORD_prospetto riassuntivo'!$B$23),1,0))</f>
        <v>0</v>
      </c>
      <c r="J3" s="84">
        <f>MAX(A3:A38)+1</f>
        <v>1</v>
      </c>
      <c r="K3" s="85">
        <f>'FNC-ORD_prospetto riassuntivo'!$B$11*'FNC-ORD_prospetto riassuntivo'!$B$28*Q3</f>
        <v>166.66666666666669</v>
      </c>
      <c r="L3" s="85">
        <f t="shared" ref="L3:L34" si="1">M3-K3</f>
        <v>442.79709844867688</v>
      </c>
      <c r="M3" s="85">
        <f>-PMT('FNC-ORD_prospetto riassuntivo'!B28,'FNC-ORD_prospetto riassuntivo'!B26,'FNC-ORD_prospetto riassuntivo'!B11,,0)</f>
        <v>609.46376511534356</v>
      </c>
      <c r="N3" s="85">
        <f>(L3)*Q3</f>
        <v>442.79709844867688</v>
      </c>
      <c r="O3" s="85">
        <f>('FNC-ORD_prospetto riassuntivo'!$B$11-N3)*Q3</f>
        <v>49557.202901551325</v>
      </c>
      <c r="P3" s="85">
        <f>K3/(1+SUM('FNC-ORD_prospetto riassuntivo'!$B$29:$B$30)/'FNC-ORD_prospetto riassuntivo'!$B$24)^J3</f>
        <v>165.95995386313285</v>
      </c>
      <c r="Q3">
        <f>IF(J3=0,0,IF(OR(J3&lt;'FNC-ORD_prospetto riassuntivo'!$B$23+'FNC-ORD_prospetto riassuntivo'!$B$26,J3='FNC-ORD_prospetto riassuntivo'!$B$23+'FNC-ORD_prospetto riassuntivo'!$B$26),1,0))</f>
        <v>1</v>
      </c>
    </row>
    <row r="4" spans="1:17" x14ac:dyDescent="0.25">
      <c r="A4" s="84">
        <f>IF(A3=0,0,IF('FNC-ORD_prospetto riassuntivo'!$B$23&gt;A3,A3+1,0))</f>
        <v>0</v>
      </c>
      <c r="B4" s="85">
        <f>'FNC-ORD_prospetto riassuntivo'!$B$11*'FNC-ORD_prospetto riassuntivo'!$B$27*H4</f>
        <v>0</v>
      </c>
      <c r="C4" s="85">
        <v>0</v>
      </c>
      <c r="D4" s="85">
        <f t="shared" si="0"/>
        <v>0</v>
      </c>
      <c r="E4" s="85">
        <v>0</v>
      </c>
      <c r="F4" s="85">
        <f>'FNC-ORD_prospetto riassuntivo'!$B$11</f>
        <v>50000</v>
      </c>
      <c r="G4" s="85">
        <f>B4/((1+IFERROR(SUM('FNC-ORD_prospetto riassuntivo'!$B$29,'FNC-ORD_prospetto riassuntivo'!$B$30)/'FNC-ORD_prospetto riassuntivo'!$B$21,0))^A4)</f>
        <v>0</v>
      </c>
      <c r="H4">
        <f>IF(A4=0,0,IF(OR(A4&lt;'FNC-ORD_prospetto riassuntivo'!$B$23,A4='FNC-ORD_prospetto riassuntivo'!$B$23),1,0))</f>
        <v>0</v>
      </c>
      <c r="J4" s="84">
        <f>IF(J3=0,0,IF('FNC-ORD_prospetto riassuntivo'!$B$23+'FNC-ORD_prospetto riassuntivo'!$B$26&gt;J3,J3+1,0))</f>
        <v>2</v>
      </c>
      <c r="K4" s="85">
        <f>O3*'FNC-ORD_prospetto riassuntivo'!$B$28*Q4</f>
        <v>165.19067633850443</v>
      </c>
      <c r="L4" s="85">
        <f t="shared" si="1"/>
        <v>444.27308877683913</v>
      </c>
      <c r="M4" s="85">
        <f t="shared" ref="M4:M35" si="2">$M$3*Q4</f>
        <v>609.46376511534356</v>
      </c>
      <c r="N4" s="86">
        <f t="shared" ref="N4:N35" si="3">(L4+N3)*Q4</f>
        <v>887.07018722551607</v>
      </c>
      <c r="O4" s="85">
        <f>('FNC-ORD_prospetto riassuntivo'!$B$11-N4)*Q4</f>
        <v>49112.929812774484</v>
      </c>
      <c r="P4" s="85">
        <f>K4/(1+SUM('FNC-ORD_prospetto riassuntivo'!$B$29:$B$30)/'FNC-ORD_prospetto riassuntivo'!$B$24)^J4</f>
        <v>163.79273806628186</v>
      </c>
      <c r="Q4">
        <f>IF(J4=0,0,IF(OR(J4&lt;'FNC-ORD_prospetto riassuntivo'!$B$23+'FNC-ORD_prospetto riassuntivo'!$B$26,J4='FNC-ORD_prospetto riassuntivo'!$B$23+'FNC-ORD_prospetto riassuntivo'!$B$26),1,0))</f>
        <v>1</v>
      </c>
    </row>
    <row r="5" spans="1:17" x14ac:dyDescent="0.25">
      <c r="A5" s="84">
        <f>IF(A4=0,0,IF('FNC-ORD_prospetto riassuntivo'!$B$23&gt;A4,A4+1,0))</f>
        <v>0</v>
      </c>
      <c r="B5" s="85">
        <f>'FNC-ORD_prospetto riassuntivo'!$B$11*'FNC-ORD_prospetto riassuntivo'!$B$27*H5</f>
        <v>0</v>
      </c>
      <c r="C5" s="85">
        <v>0</v>
      </c>
      <c r="D5" s="85">
        <f t="shared" si="0"/>
        <v>0</v>
      </c>
      <c r="E5" s="85">
        <v>0</v>
      </c>
      <c r="F5" s="85">
        <f>'FNC-ORD_prospetto riassuntivo'!$B$11</f>
        <v>50000</v>
      </c>
      <c r="G5" s="85">
        <f>B5/((1+IFERROR(SUM('FNC-ORD_prospetto riassuntivo'!$B$29,'FNC-ORD_prospetto riassuntivo'!$B$30)/'FNC-ORD_prospetto riassuntivo'!$B$21,0))^A5)</f>
        <v>0</v>
      </c>
      <c r="H5">
        <f>IF(A5=0,0,IF(OR(A5&lt;'FNC-ORD_prospetto riassuntivo'!$B$23,A5='FNC-ORD_prospetto riassuntivo'!$B$23),1,0))</f>
        <v>0</v>
      </c>
      <c r="J5" s="84">
        <f>IF(J4=0,0,IF('FNC-ORD_prospetto riassuntivo'!$B$23+'FNC-ORD_prospetto riassuntivo'!$B$26&gt;J4,J4+1,0))</f>
        <v>3</v>
      </c>
      <c r="K5" s="85">
        <f>O4*'FNC-ORD_prospetto riassuntivo'!$B$28*Q5</f>
        <v>163.70976604258163</v>
      </c>
      <c r="L5" s="85">
        <f t="shared" si="1"/>
        <v>445.75399907276193</v>
      </c>
      <c r="M5" s="85">
        <f t="shared" si="2"/>
        <v>609.46376511534356</v>
      </c>
      <c r="N5" s="86">
        <f t="shared" si="3"/>
        <v>1332.8241862982779</v>
      </c>
      <c r="O5" s="85">
        <f>('FNC-ORD_prospetto riassuntivo'!$B$11-N5)*Q5</f>
        <v>48667.175813701724</v>
      </c>
      <c r="P5" s="85">
        <f>K5/(1+SUM('FNC-ORD_prospetto riassuntivo'!$B$29:$B$30)/'FNC-ORD_prospetto riassuntivo'!$B$24)^J5</f>
        <v>161.63605986129781</v>
      </c>
      <c r="Q5">
        <f>IF(J5=0,0,IF(OR(J5&lt;'FNC-ORD_prospetto riassuntivo'!$B$23+'FNC-ORD_prospetto riassuntivo'!$B$26,J5='FNC-ORD_prospetto riassuntivo'!$B$23+'FNC-ORD_prospetto riassuntivo'!$B$26),1,0))</f>
        <v>1</v>
      </c>
    </row>
    <row r="6" spans="1:17" x14ac:dyDescent="0.25">
      <c r="A6" s="84">
        <f>IF(A5=0,0,IF('FNC-ORD_prospetto riassuntivo'!$B$23&gt;A5,A5+1,0))</f>
        <v>0</v>
      </c>
      <c r="B6" s="85">
        <f>'FNC-ORD_prospetto riassuntivo'!$B$11*'FNC-ORD_prospetto riassuntivo'!$B$27*H6</f>
        <v>0</v>
      </c>
      <c r="C6" s="85">
        <v>0</v>
      </c>
      <c r="D6" s="85">
        <f t="shared" si="0"/>
        <v>0</v>
      </c>
      <c r="E6" s="85">
        <v>0</v>
      </c>
      <c r="F6" s="85">
        <f>'FNC-ORD_prospetto riassuntivo'!$B$11</f>
        <v>50000</v>
      </c>
      <c r="G6" s="85">
        <f>B6/((1+IFERROR(SUM('FNC-ORD_prospetto riassuntivo'!$B$29,'FNC-ORD_prospetto riassuntivo'!$B$30)/'FNC-ORD_prospetto riassuntivo'!$B$21,0))^A6)</f>
        <v>0</v>
      </c>
      <c r="H6">
        <f>IF(A6=0,0,IF(OR(A6&lt;'FNC-ORD_prospetto riassuntivo'!$B$23,A6='FNC-ORD_prospetto riassuntivo'!$B$23),1,0))</f>
        <v>0</v>
      </c>
      <c r="J6" s="84">
        <f>IF(J5=0,0,IF('FNC-ORD_prospetto riassuntivo'!$B$23+'FNC-ORD_prospetto riassuntivo'!$B$26&gt;J5,J5+1,0))</f>
        <v>4</v>
      </c>
      <c r="K6" s="85">
        <f>O5*'FNC-ORD_prospetto riassuntivo'!$B$28*Q6</f>
        <v>162.22391937900576</v>
      </c>
      <c r="L6" s="85">
        <f t="shared" si="1"/>
        <v>447.23984573633777</v>
      </c>
      <c r="M6" s="85">
        <f t="shared" si="2"/>
        <v>609.46376511534356</v>
      </c>
      <c r="N6" s="86">
        <f t="shared" si="3"/>
        <v>1780.0640320346156</v>
      </c>
      <c r="O6" s="85">
        <f>('FNC-ORD_prospetto riassuntivo'!$B$11-N6)*Q6</f>
        <v>48219.935967965386</v>
      </c>
      <c r="P6" s="85">
        <f>K6/(1+SUM('FNC-ORD_prospetto riassuntivo'!$B$29:$B$30)/'FNC-ORD_prospetto riassuntivo'!$B$24)^J6</f>
        <v>159.48987332426418</v>
      </c>
      <c r="Q6">
        <f>IF(J6=0,0,IF(OR(J6&lt;'FNC-ORD_prospetto riassuntivo'!$B$23+'FNC-ORD_prospetto riassuntivo'!$B$26,J6='FNC-ORD_prospetto riassuntivo'!$B$23+'FNC-ORD_prospetto riassuntivo'!$B$26),1,0))</f>
        <v>1</v>
      </c>
    </row>
    <row r="7" spans="1:17" x14ac:dyDescent="0.25">
      <c r="A7" s="84">
        <f>IF(A6=0,0,IF('FNC-ORD_prospetto riassuntivo'!$B$23&gt;A6,A6+1,0))</f>
        <v>0</v>
      </c>
      <c r="B7" s="85">
        <f>'FNC-ORD_prospetto riassuntivo'!$B$11*'FNC-ORD_prospetto riassuntivo'!$B$27*H7</f>
        <v>0</v>
      </c>
      <c r="C7" s="85">
        <v>0</v>
      </c>
      <c r="D7" s="85">
        <f t="shared" si="0"/>
        <v>0</v>
      </c>
      <c r="E7" s="85">
        <v>0</v>
      </c>
      <c r="F7" s="85">
        <f>'FNC-ORD_prospetto riassuntivo'!$B$11</f>
        <v>50000</v>
      </c>
      <c r="G7" s="85">
        <f>B7/((1+IFERROR(SUM('FNC-ORD_prospetto riassuntivo'!$B$29,'FNC-ORD_prospetto riassuntivo'!$B$30)/'FNC-ORD_prospetto riassuntivo'!$B$21,0))^A7)</f>
        <v>0</v>
      </c>
      <c r="H7">
        <f>IF(A7=0,0,IF(OR(A7&lt;'FNC-ORD_prospetto riassuntivo'!$B$23,A7='FNC-ORD_prospetto riassuntivo'!$B$23),1,0))</f>
        <v>0</v>
      </c>
      <c r="J7" s="84">
        <f>IF(J6=0,0,IF('FNC-ORD_prospetto riassuntivo'!$B$23+'FNC-ORD_prospetto riassuntivo'!$B$26&gt;J6,J6+1,0))</f>
        <v>5</v>
      </c>
      <c r="K7" s="85">
        <f>O6*'FNC-ORD_prospetto riassuntivo'!$B$28*Q7</f>
        <v>160.73311989321797</v>
      </c>
      <c r="L7" s="85">
        <f t="shared" si="1"/>
        <v>448.73064522212559</v>
      </c>
      <c r="M7" s="85">
        <f t="shared" si="2"/>
        <v>609.46376511534356</v>
      </c>
      <c r="N7" s="86">
        <f t="shared" si="3"/>
        <v>2228.7946772567411</v>
      </c>
      <c r="O7" s="85">
        <f>('FNC-ORD_prospetto riassuntivo'!$B$11-N7)*Q7</f>
        <v>47771.205322743263</v>
      </c>
      <c r="P7" s="85">
        <f>K7/(1+SUM('FNC-ORD_prospetto riassuntivo'!$B$29:$B$30)/'FNC-ORD_prospetto riassuntivo'!$B$24)^J7</f>
        <v>157.35413272713814</v>
      </c>
      <c r="Q7">
        <f>IF(J7=0,0,IF(OR(J7&lt;'FNC-ORD_prospetto riassuntivo'!$B$23+'FNC-ORD_prospetto riassuntivo'!$B$26,J7='FNC-ORD_prospetto riassuntivo'!$B$23+'FNC-ORD_prospetto riassuntivo'!$B$26),1,0))</f>
        <v>1</v>
      </c>
    </row>
    <row r="8" spans="1:17" x14ac:dyDescent="0.25">
      <c r="A8" s="84">
        <f>IF(A7=0,0,IF('FNC-ORD_prospetto riassuntivo'!$B$23&gt;A7,A7+1,0))</f>
        <v>0</v>
      </c>
      <c r="B8" s="85">
        <f>'FNC-ORD_prospetto riassuntivo'!$B$11*'FNC-ORD_prospetto riassuntivo'!$B$27*H8</f>
        <v>0</v>
      </c>
      <c r="C8" s="85">
        <v>0</v>
      </c>
      <c r="D8" s="85">
        <f t="shared" si="0"/>
        <v>0</v>
      </c>
      <c r="E8" s="85">
        <v>0</v>
      </c>
      <c r="F8" s="85">
        <f>'FNC-ORD_prospetto riassuntivo'!$B$11</f>
        <v>50000</v>
      </c>
      <c r="G8" s="85">
        <f>B8/((1+IFERROR(SUM('FNC-ORD_prospetto riassuntivo'!$B$29,'FNC-ORD_prospetto riassuntivo'!$B$30)/'FNC-ORD_prospetto riassuntivo'!$B$21,0))^A8)</f>
        <v>0</v>
      </c>
      <c r="H8">
        <f>IF(A8=0,0,IF(OR(A8&lt;'FNC-ORD_prospetto riassuntivo'!$B$23,A8='FNC-ORD_prospetto riassuntivo'!$B$23),1,0))</f>
        <v>0</v>
      </c>
      <c r="J8" s="84">
        <f>IF(J7=0,0,IF('FNC-ORD_prospetto riassuntivo'!$B$23+'FNC-ORD_prospetto riassuntivo'!$B$26&gt;J7,J7+1,0))</f>
        <v>6</v>
      </c>
      <c r="K8" s="85">
        <f>O7*'FNC-ORD_prospetto riassuntivo'!$B$28*Q8</f>
        <v>159.23735107581089</v>
      </c>
      <c r="L8" s="85">
        <f t="shared" si="1"/>
        <v>450.22641403953264</v>
      </c>
      <c r="M8" s="85">
        <f t="shared" si="2"/>
        <v>609.46376511534356</v>
      </c>
      <c r="N8" s="86">
        <f t="shared" si="3"/>
        <v>2679.0210912962739</v>
      </c>
      <c r="O8" s="85">
        <f>('FNC-ORD_prospetto riassuntivo'!$B$11-N8)*Q8</f>
        <v>47320.978908703728</v>
      </c>
      <c r="P8" s="85">
        <f>K8/(1+SUM('FNC-ORD_prospetto riassuntivo'!$B$29:$B$30)/'FNC-ORD_prospetto riassuntivo'!$B$24)^J8</f>
        <v>155.22879253691903</v>
      </c>
      <c r="Q8">
        <f>IF(J8=0,0,IF(OR(J8&lt;'FNC-ORD_prospetto riassuntivo'!$B$23+'FNC-ORD_prospetto riassuntivo'!$B$26,J8='FNC-ORD_prospetto riassuntivo'!$B$23+'FNC-ORD_prospetto riassuntivo'!$B$26),1,0))</f>
        <v>1</v>
      </c>
    </row>
    <row r="9" spans="1:17" x14ac:dyDescent="0.25">
      <c r="A9" s="84">
        <f>IF(A8=0,0,IF('FNC-ORD_prospetto riassuntivo'!$B$23&gt;A8,A8+1,0))</f>
        <v>0</v>
      </c>
      <c r="B9" s="85">
        <f>'FNC-ORD_prospetto riassuntivo'!$B$11*'FNC-ORD_prospetto riassuntivo'!$B$27*H9</f>
        <v>0</v>
      </c>
      <c r="C9" s="85">
        <v>0</v>
      </c>
      <c r="D9" s="85">
        <f t="shared" si="0"/>
        <v>0</v>
      </c>
      <c r="E9" s="85">
        <v>0</v>
      </c>
      <c r="F9" s="85">
        <f>'FNC-ORD_prospetto riassuntivo'!$B$11</f>
        <v>50000</v>
      </c>
      <c r="G9" s="85">
        <f>B9/((1+IFERROR(SUM('FNC-ORD_prospetto riassuntivo'!$B$29,'FNC-ORD_prospetto riassuntivo'!$B$30)/'FNC-ORD_prospetto riassuntivo'!$B$21,0))^A9)</f>
        <v>0</v>
      </c>
      <c r="H9">
        <f>IF(A9=0,0,IF(OR(A9&lt;'FNC-ORD_prospetto riassuntivo'!$B$23,A9='FNC-ORD_prospetto riassuntivo'!$B$23),1,0))</f>
        <v>0</v>
      </c>
      <c r="J9" s="84">
        <f>IF(J8=0,0,IF('FNC-ORD_prospetto riassuntivo'!$B$23+'FNC-ORD_prospetto riassuntivo'!$B$26&gt;J8,J8+1,0))</f>
        <v>7</v>
      </c>
      <c r="K9" s="85">
        <f>O8*'FNC-ORD_prospetto riassuntivo'!$B$28*Q9</f>
        <v>157.73659636234578</v>
      </c>
      <c r="L9" s="85">
        <f t="shared" si="1"/>
        <v>451.72716875299778</v>
      </c>
      <c r="M9" s="85">
        <f t="shared" si="2"/>
        <v>609.46376511534356</v>
      </c>
      <c r="N9" s="86">
        <f t="shared" si="3"/>
        <v>3130.7482600492717</v>
      </c>
      <c r="O9" s="85">
        <f>('FNC-ORD_prospetto riassuntivo'!$B$11-N9)*Q9</f>
        <v>46869.251739950727</v>
      </c>
      <c r="P9" s="85">
        <f>K9/(1+SUM('FNC-ORD_prospetto riassuntivo'!$B$29:$B$30)/'FNC-ORD_prospetto riassuntivo'!$B$24)^J9</f>
        <v>153.11380741482023</v>
      </c>
      <c r="Q9">
        <f>IF(J9=0,0,IF(OR(J9&lt;'FNC-ORD_prospetto riassuntivo'!$B$23+'FNC-ORD_prospetto riassuntivo'!$B$26,J9='FNC-ORD_prospetto riassuntivo'!$B$23+'FNC-ORD_prospetto riassuntivo'!$B$26),1,0))</f>
        <v>1</v>
      </c>
    </row>
    <row r="10" spans="1:17" x14ac:dyDescent="0.25">
      <c r="A10" s="84">
        <f>IF(A9=0,0,IF('FNC-ORD_prospetto riassuntivo'!$B$23&gt;A9,A9+1,0))</f>
        <v>0</v>
      </c>
      <c r="B10" s="85">
        <f>'FNC-ORD_prospetto riassuntivo'!$B$11*'FNC-ORD_prospetto riassuntivo'!$B$27*H10</f>
        <v>0</v>
      </c>
      <c r="C10" s="85">
        <v>0</v>
      </c>
      <c r="D10" s="85">
        <f t="shared" si="0"/>
        <v>0</v>
      </c>
      <c r="E10" s="85">
        <v>0</v>
      </c>
      <c r="F10" s="85">
        <f>'FNC-ORD_prospetto riassuntivo'!$B$11</f>
        <v>50000</v>
      </c>
      <c r="G10" s="85">
        <f>B10/((1+IFERROR(SUM('FNC-ORD_prospetto riassuntivo'!$B$29,'FNC-ORD_prospetto riassuntivo'!$B$30)/'FNC-ORD_prospetto riassuntivo'!$B$21,0))^A10)</f>
        <v>0</v>
      </c>
      <c r="H10">
        <f>IF(A10=0,0,IF(OR(A10&lt;'FNC-ORD_prospetto riassuntivo'!$B$23,A10='FNC-ORD_prospetto riassuntivo'!$B$23),1,0))</f>
        <v>0</v>
      </c>
      <c r="J10" s="84">
        <f>IF(J9=0,0,IF('FNC-ORD_prospetto riassuntivo'!$B$23+'FNC-ORD_prospetto riassuntivo'!$B$26&gt;J9,J9+1,0))</f>
        <v>8</v>
      </c>
      <c r="K10" s="85">
        <f>O9*'FNC-ORD_prospetto riassuntivo'!$B$28*Q10</f>
        <v>156.2308391331691</v>
      </c>
      <c r="L10" s="85">
        <f t="shared" si="1"/>
        <v>453.23292598217449</v>
      </c>
      <c r="M10" s="85">
        <f t="shared" si="2"/>
        <v>609.46376511534356</v>
      </c>
      <c r="N10" s="86">
        <f t="shared" si="3"/>
        <v>3583.9811860314462</v>
      </c>
      <c r="O10" s="85">
        <f>('FNC-ORD_prospetto riassuntivo'!$B$11-N10)*Q10</f>
        <v>46416.018813968556</v>
      </c>
      <c r="P10" s="85">
        <f>K10/(1+SUM('FNC-ORD_prospetto riassuntivo'!$B$29:$B$30)/'FNC-ORD_prospetto riassuntivo'!$B$24)^J10</f>
        <v>151.00913221544454</v>
      </c>
      <c r="Q10">
        <f>IF(J10=0,0,IF(OR(J10&lt;'FNC-ORD_prospetto riassuntivo'!$B$23+'FNC-ORD_prospetto riassuntivo'!$B$26,J10='FNC-ORD_prospetto riassuntivo'!$B$23+'FNC-ORD_prospetto riassuntivo'!$B$26),1,0))</f>
        <v>1</v>
      </c>
    </row>
    <row r="11" spans="1:17" x14ac:dyDescent="0.25">
      <c r="A11" s="84">
        <f>IF(A10=0,0,IF('FNC-ORD_prospetto riassuntivo'!$B$23&gt;A10,A10+1,0))</f>
        <v>0</v>
      </c>
      <c r="B11" s="85">
        <f>'FNC-ORD_prospetto riassuntivo'!$B$11*'FNC-ORD_prospetto riassuntivo'!$B$27*H11</f>
        <v>0</v>
      </c>
      <c r="C11" s="85">
        <v>0</v>
      </c>
      <c r="D11" s="85">
        <f t="shared" si="0"/>
        <v>0</v>
      </c>
      <c r="E11" s="85">
        <v>0</v>
      </c>
      <c r="F11" s="85">
        <f>'FNC-ORD_prospetto riassuntivo'!$B$11</f>
        <v>50000</v>
      </c>
      <c r="G11" s="85">
        <f>B11/((1+IFERROR(SUM('FNC-ORD_prospetto riassuntivo'!$B$29,'FNC-ORD_prospetto riassuntivo'!$B$30)/'FNC-ORD_prospetto riassuntivo'!$B$21,0))^A11)</f>
        <v>0</v>
      </c>
      <c r="H11">
        <f>IF(A11=0,0,IF(OR(A11&lt;'FNC-ORD_prospetto riassuntivo'!$B$23,A11='FNC-ORD_prospetto riassuntivo'!$B$23),1,0))</f>
        <v>0</v>
      </c>
      <c r="J11" s="84">
        <f>IF(J10=0,0,IF('FNC-ORD_prospetto riassuntivo'!$B$23+'FNC-ORD_prospetto riassuntivo'!$B$26&gt;J10,J10+1,0))</f>
        <v>9</v>
      </c>
      <c r="K11" s="85">
        <f>O10*'FNC-ORD_prospetto riassuntivo'!$B$28*Q11</f>
        <v>154.72006271322854</v>
      </c>
      <c r="L11" s="85">
        <f t="shared" si="1"/>
        <v>454.74370240211499</v>
      </c>
      <c r="M11" s="85">
        <f t="shared" si="2"/>
        <v>609.46376511534356</v>
      </c>
      <c r="N11" s="86">
        <f t="shared" si="3"/>
        <v>4038.7248884335613</v>
      </c>
      <c r="O11" s="85">
        <f>('FNC-ORD_prospetto riassuntivo'!$B$11-N11)*Q11</f>
        <v>45961.275111566436</v>
      </c>
      <c r="P11" s="85">
        <f>K11/(1+SUM('FNC-ORD_prospetto riassuntivo'!$B$29:$B$30)/'FNC-ORD_prospetto riassuntivo'!$B$24)^J11</f>
        <v>148.91472198596324</v>
      </c>
      <c r="Q11">
        <f>IF(J11=0,0,IF(OR(J11&lt;'FNC-ORD_prospetto riassuntivo'!$B$23+'FNC-ORD_prospetto riassuntivo'!$B$26,J11='FNC-ORD_prospetto riassuntivo'!$B$23+'FNC-ORD_prospetto riassuntivo'!$B$26),1,0))</f>
        <v>1</v>
      </c>
    </row>
    <row r="12" spans="1:17" x14ac:dyDescent="0.25">
      <c r="A12" s="84">
        <f>IF(A11=0,0,IF('FNC-ORD_prospetto riassuntivo'!$B$23&gt;A11,A11+1,0))</f>
        <v>0</v>
      </c>
      <c r="B12" s="85">
        <f>'FNC-ORD_prospetto riassuntivo'!$B$11*'FNC-ORD_prospetto riassuntivo'!$B$27*H12</f>
        <v>0</v>
      </c>
      <c r="C12" s="85">
        <v>0</v>
      </c>
      <c r="D12" s="85">
        <f t="shared" si="0"/>
        <v>0</v>
      </c>
      <c r="E12" s="85">
        <v>0</v>
      </c>
      <c r="F12" s="85">
        <f>'FNC-ORD_prospetto riassuntivo'!$B$11</f>
        <v>50000</v>
      </c>
      <c r="G12" s="85">
        <f>B12/((1+IFERROR(SUM('FNC-ORD_prospetto riassuntivo'!$B$29,'FNC-ORD_prospetto riassuntivo'!$B$30)/'FNC-ORD_prospetto riassuntivo'!$B$21,0))^A12)</f>
        <v>0</v>
      </c>
      <c r="H12">
        <f>IF(A12=0,0,IF(OR(A12&lt;'FNC-ORD_prospetto riassuntivo'!$B$23,A12='FNC-ORD_prospetto riassuntivo'!$B$23),1,0))</f>
        <v>0</v>
      </c>
      <c r="J12" s="84">
        <f>IF(J11=0,0,IF('FNC-ORD_prospetto riassuntivo'!$B$23+'FNC-ORD_prospetto riassuntivo'!$B$26&gt;J11,J11+1,0))</f>
        <v>10</v>
      </c>
      <c r="K12" s="85">
        <f>O11*'FNC-ORD_prospetto riassuntivo'!$B$28*Q12</f>
        <v>153.20425037188812</v>
      </c>
      <c r="L12" s="85">
        <f t="shared" si="1"/>
        <v>456.25951474345544</v>
      </c>
      <c r="M12" s="85">
        <f t="shared" si="2"/>
        <v>609.46376511534356</v>
      </c>
      <c r="N12" s="86">
        <f t="shared" si="3"/>
        <v>4494.9844031770172</v>
      </c>
      <c r="O12" s="85">
        <f>('FNC-ORD_prospetto riassuntivo'!$B$11-N12)*Q12</f>
        <v>45505.015596822981</v>
      </c>
      <c r="P12" s="85">
        <f>K12/(1+SUM('FNC-ORD_prospetto riassuntivo'!$B$29:$B$30)/'FNC-ORD_prospetto riassuntivo'!$B$24)^J12</f>
        <v>146.83053196529826</v>
      </c>
      <c r="Q12">
        <f>IF(J12=0,0,IF(OR(J12&lt;'FNC-ORD_prospetto riassuntivo'!$B$23+'FNC-ORD_prospetto riassuntivo'!$B$26,J12='FNC-ORD_prospetto riassuntivo'!$B$23+'FNC-ORD_prospetto riassuntivo'!$B$26),1,0))</f>
        <v>1</v>
      </c>
    </row>
    <row r="13" spans="1:17" x14ac:dyDescent="0.25">
      <c r="A13" s="84">
        <f>IF(A12=0,0,IF('FNC-ORD_prospetto riassuntivo'!$B$23&gt;A12,A12+1,0))</f>
        <v>0</v>
      </c>
      <c r="B13" s="85">
        <f>'FNC-ORD_prospetto riassuntivo'!$B$11*'FNC-ORD_prospetto riassuntivo'!$B$27*H13</f>
        <v>0</v>
      </c>
      <c r="C13" s="85">
        <v>0</v>
      </c>
      <c r="D13" s="85">
        <f t="shared" si="0"/>
        <v>0</v>
      </c>
      <c r="E13" s="85">
        <v>0</v>
      </c>
      <c r="F13" s="85">
        <f>'FNC-ORD_prospetto riassuntivo'!$B$11</f>
        <v>50000</v>
      </c>
      <c r="G13" s="85">
        <f>B13/((1+IFERROR(SUM('FNC-ORD_prospetto riassuntivo'!$B$29,'FNC-ORD_prospetto riassuntivo'!$B$30)/'FNC-ORD_prospetto riassuntivo'!$B$21,0))^A13)</f>
        <v>0</v>
      </c>
      <c r="H13">
        <f>IF(A13=0,0,IF(OR(A13&lt;'FNC-ORD_prospetto riassuntivo'!$B$23,A13='FNC-ORD_prospetto riassuntivo'!$B$23),1,0))</f>
        <v>0</v>
      </c>
      <c r="J13" s="84">
        <f>IF(J12=0,0,IF('FNC-ORD_prospetto riassuntivo'!$B$23+'FNC-ORD_prospetto riassuntivo'!$B$26&gt;J12,J12+1,0))</f>
        <v>11</v>
      </c>
      <c r="K13" s="85">
        <f>O12*'FNC-ORD_prospetto riassuntivo'!$B$28*Q13</f>
        <v>151.68338532274328</v>
      </c>
      <c r="L13" s="85">
        <f t="shared" si="1"/>
        <v>457.78037979260029</v>
      </c>
      <c r="M13" s="85">
        <f t="shared" si="2"/>
        <v>609.46376511534356</v>
      </c>
      <c r="N13" s="86">
        <f t="shared" si="3"/>
        <v>4952.764782969617</v>
      </c>
      <c r="O13" s="85">
        <f>('FNC-ORD_prospetto riassuntivo'!$B$11-N13)*Q13</f>
        <v>45047.235217030386</v>
      </c>
      <c r="P13" s="85">
        <f>K13/(1+SUM('FNC-ORD_prospetto riassuntivo'!$B$29:$B$30)/'FNC-ORD_prospetto riassuntivo'!$B$24)^J13</f>
        <v>144.75651758330841</v>
      </c>
      <c r="Q13">
        <f>IF(J13=0,0,IF(OR(J13&lt;'FNC-ORD_prospetto riassuntivo'!$B$23+'FNC-ORD_prospetto riassuntivo'!$B$26,J13='FNC-ORD_prospetto riassuntivo'!$B$23+'FNC-ORD_prospetto riassuntivo'!$B$26),1,0))</f>
        <v>1</v>
      </c>
    </row>
    <row r="14" spans="1:17" x14ac:dyDescent="0.25">
      <c r="A14" s="84">
        <f>IF(A13=0,0,IF('FNC-ORD_prospetto riassuntivo'!$B$23&gt;A13,A13+1,0))</f>
        <v>0</v>
      </c>
      <c r="B14" s="85">
        <f>'FNC-ORD_prospetto riassuntivo'!$B$11*'FNC-ORD_prospetto riassuntivo'!$B$27*H14</f>
        <v>0</v>
      </c>
      <c r="C14" s="85">
        <v>0</v>
      </c>
      <c r="D14" s="85">
        <f t="shared" si="0"/>
        <v>0</v>
      </c>
      <c r="E14" s="85">
        <v>0</v>
      </c>
      <c r="F14" s="85">
        <f>'FNC-ORD_prospetto riassuntivo'!$B$11</f>
        <v>50000</v>
      </c>
      <c r="G14" s="85">
        <f>B14/((1+IFERROR(SUM('FNC-ORD_prospetto riassuntivo'!$B$29,'FNC-ORD_prospetto riassuntivo'!$B$30)/'FNC-ORD_prospetto riassuntivo'!$B$21,0))^A14)</f>
        <v>0</v>
      </c>
      <c r="H14">
        <f>IF(A14=0,0,IF(OR(A14&lt;'FNC-ORD_prospetto riassuntivo'!$B$23,A14='FNC-ORD_prospetto riassuntivo'!$B$23),1,0))</f>
        <v>0</v>
      </c>
      <c r="J14" s="84">
        <f>IF(J13=0,0,IF('FNC-ORD_prospetto riassuntivo'!$B$23+'FNC-ORD_prospetto riassuntivo'!$B$26&gt;J13,J13+1,0))</f>
        <v>12</v>
      </c>
      <c r="K14" s="85">
        <f>O13*'FNC-ORD_prospetto riassuntivo'!$B$28*Q14</f>
        <v>150.15745072343464</v>
      </c>
      <c r="L14" s="85">
        <f t="shared" si="1"/>
        <v>459.30631439190893</v>
      </c>
      <c r="M14" s="85">
        <f t="shared" si="2"/>
        <v>609.46376511534356</v>
      </c>
      <c r="N14" s="86">
        <f t="shared" si="3"/>
        <v>5412.071097361526</v>
      </c>
      <c r="O14" s="85">
        <f>('FNC-ORD_prospetto riassuntivo'!$B$11-N14)*Q14</f>
        <v>44587.928902638472</v>
      </c>
      <c r="P14" s="85">
        <f>K14/(1+SUM('FNC-ORD_prospetto riassuntivo'!$B$29:$B$30)/'FNC-ORD_prospetto riassuntivo'!$B$24)^J14</f>
        <v>142.69263445997834</v>
      </c>
      <c r="Q14">
        <f>IF(J14=0,0,IF(OR(J14&lt;'FNC-ORD_prospetto riassuntivo'!$B$23+'FNC-ORD_prospetto riassuntivo'!$B$26,J14='FNC-ORD_prospetto riassuntivo'!$B$23+'FNC-ORD_prospetto riassuntivo'!$B$26),1,0))</f>
        <v>1</v>
      </c>
    </row>
    <row r="15" spans="1:17" x14ac:dyDescent="0.25">
      <c r="A15" s="84">
        <f>IF(A14=0,0,IF('FNC-ORD_prospetto riassuntivo'!$B$23&gt;A14,A14+1,0))</f>
        <v>0</v>
      </c>
      <c r="B15" s="85">
        <f>'FNC-ORD_prospetto riassuntivo'!$B$11*'FNC-ORD_prospetto riassuntivo'!$B$27*H15</f>
        <v>0</v>
      </c>
      <c r="C15" s="85">
        <v>0</v>
      </c>
      <c r="D15" s="85">
        <f t="shared" si="0"/>
        <v>0</v>
      </c>
      <c r="E15" s="85">
        <v>0</v>
      </c>
      <c r="F15" s="85">
        <f>'FNC-ORD_prospetto riassuntivo'!$B$11</f>
        <v>50000</v>
      </c>
      <c r="G15" s="85">
        <f>B15/((1+IFERROR(SUM('FNC-ORD_prospetto riassuntivo'!$B$29,'FNC-ORD_prospetto riassuntivo'!$B$30)/'FNC-ORD_prospetto riassuntivo'!$B$21,0))^A15)</f>
        <v>0</v>
      </c>
      <c r="H15">
        <f>IF(A15=0,0,IF(OR(A15&lt;'FNC-ORD_prospetto riassuntivo'!$B$23,A15='FNC-ORD_prospetto riassuntivo'!$B$23),1,0))</f>
        <v>0</v>
      </c>
      <c r="J15" s="84">
        <f>IF(J14=0,0,IF('FNC-ORD_prospetto riassuntivo'!$B$23+'FNC-ORD_prospetto riassuntivo'!$B$26&gt;J14,J14+1,0))</f>
        <v>13</v>
      </c>
      <c r="K15" s="85">
        <f>O14*'FNC-ORD_prospetto riassuntivo'!$B$28*Q15</f>
        <v>148.62642967546159</v>
      </c>
      <c r="L15" s="85">
        <f t="shared" si="1"/>
        <v>460.83733543988194</v>
      </c>
      <c r="M15" s="85">
        <f t="shared" si="2"/>
        <v>609.46376511534356</v>
      </c>
      <c r="N15" s="86">
        <f t="shared" si="3"/>
        <v>5872.9084328014078</v>
      </c>
      <c r="O15" s="85">
        <f>('FNC-ORD_prospetto riassuntivo'!$B$11-N15)*Q15</f>
        <v>44127.091567198593</v>
      </c>
      <c r="P15" s="85">
        <f>K15/(1+SUM('FNC-ORD_prospetto riassuntivo'!$B$29:$B$30)/'FNC-ORD_prospetto riassuntivo'!$B$24)^J15</f>
        <v>140.6388384046115</v>
      </c>
      <c r="Q15">
        <f>IF(J15=0,0,IF(OR(J15&lt;'FNC-ORD_prospetto riassuntivo'!$B$23+'FNC-ORD_prospetto riassuntivo'!$B$26,J15='FNC-ORD_prospetto riassuntivo'!$B$23+'FNC-ORD_prospetto riassuntivo'!$B$26),1,0))</f>
        <v>1</v>
      </c>
    </row>
    <row r="16" spans="1:17" x14ac:dyDescent="0.25">
      <c r="A16" s="84">
        <f>IF(A15=0,0,IF('FNC-ORD_prospetto riassuntivo'!$B$23&gt;A15,A15+1,0))</f>
        <v>0</v>
      </c>
      <c r="B16" s="85">
        <f>'FNC-ORD_prospetto riassuntivo'!$B$11*'FNC-ORD_prospetto riassuntivo'!$B$27*H16</f>
        <v>0</v>
      </c>
      <c r="C16" s="85">
        <v>0</v>
      </c>
      <c r="D16" s="85">
        <f t="shared" si="0"/>
        <v>0</v>
      </c>
      <c r="E16" s="85">
        <v>0</v>
      </c>
      <c r="F16" s="85">
        <f>'FNC-ORD_prospetto riassuntivo'!$B$11</f>
        <v>50000</v>
      </c>
      <c r="G16" s="85">
        <f>B16/((1+IFERROR(SUM('FNC-ORD_prospetto riassuntivo'!$B$29,'FNC-ORD_prospetto riassuntivo'!$B$30)/'FNC-ORD_prospetto riassuntivo'!$B$21,0))^A16)</f>
        <v>0</v>
      </c>
      <c r="H16">
        <f>IF(A16=0,0,IF(OR(A16&lt;'FNC-ORD_prospetto riassuntivo'!$B$23,A16='FNC-ORD_prospetto riassuntivo'!$B$23),1,0))</f>
        <v>0</v>
      </c>
      <c r="J16" s="84">
        <f>IF(J15=0,0,IF('FNC-ORD_prospetto riassuntivo'!$B$23+'FNC-ORD_prospetto riassuntivo'!$B$26&gt;J15,J15+1,0))</f>
        <v>14</v>
      </c>
      <c r="K16" s="85">
        <f>O15*'FNC-ORD_prospetto riassuntivo'!$B$28*Q16</f>
        <v>147.09030522399533</v>
      </c>
      <c r="L16" s="85">
        <f t="shared" si="1"/>
        <v>462.37345989134826</v>
      </c>
      <c r="M16" s="85">
        <f t="shared" si="2"/>
        <v>609.46376511534356</v>
      </c>
      <c r="N16" s="86">
        <f t="shared" si="3"/>
        <v>6335.2818926927557</v>
      </c>
      <c r="O16" s="85">
        <f>('FNC-ORD_prospetto riassuntivo'!$B$11-N16)*Q16</f>
        <v>43664.718107307242</v>
      </c>
      <c r="P16" s="85">
        <f>K16/(1+SUM('FNC-ORD_prospetto riassuntivo'!$B$29:$B$30)/'FNC-ORD_prospetto riassuntivo'!$B$24)^J16</f>
        <v>138.59508541502638</v>
      </c>
      <c r="Q16">
        <f>IF(J16=0,0,IF(OR(J16&lt;'FNC-ORD_prospetto riassuntivo'!$B$23+'FNC-ORD_prospetto riassuntivo'!$B$26,J16='FNC-ORD_prospetto riassuntivo'!$B$23+'FNC-ORD_prospetto riassuntivo'!$B$26),1,0))</f>
        <v>1</v>
      </c>
    </row>
    <row r="17" spans="1:17" x14ac:dyDescent="0.25">
      <c r="A17" s="84">
        <f>IF(A16=0,0,IF('FNC-ORD_prospetto riassuntivo'!$B$23&gt;A16,A16+1,0))</f>
        <v>0</v>
      </c>
      <c r="B17" s="85">
        <f>'FNC-ORD_prospetto riassuntivo'!$B$11*'FNC-ORD_prospetto riassuntivo'!$B$27*H17</f>
        <v>0</v>
      </c>
      <c r="C17" s="85">
        <v>0</v>
      </c>
      <c r="D17" s="85">
        <f t="shared" si="0"/>
        <v>0</v>
      </c>
      <c r="E17" s="85">
        <v>0</v>
      </c>
      <c r="F17" s="85">
        <f>'FNC-ORD_prospetto riassuntivo'!$B$11</f>
        <v>50000</v>
      </c>
      <c r="G17" s="85">
        <f>B17/((1+IFERROR(SUM('FNC-ORD_prospetto riassuntivo'!$B$29,'FNC-ORD_prospetto riassuntivo'!$B$30)/'FNC-ORD_prospetto riassuntivo'!$B$21,0))^A17)</f>
        <v>0</v>
      </c>
      <c r="H17">
        <f>IF(A17=0,0,IF(OR(A17&lt;'FNC-ORD_prospetto riassuntivo'!$B$23,A17='FNC-ORD_prospetto riassuntivo'!$B$23),1,0))</f>
        <v>0</v>
      </c>
      <c r="J17" s="84">
        <f>IF(J16=0,0,IF('FNC-ORD_prospetto riassuntivo'!$B$23+'FNC-ORD_prospetto riassuntivo'!$B$26&gt;J16,J16+1,0))</f>
        <v>15</v>
      </c>
      <c r="K17" s="85">
        <f>O16*'FNC-ORD_prospetto riassuntivo'!$B$28*Q17</f>
        <v>145.54906035769082</v>
      </c>
      <c r="L17" s="85">
        <f t="shared" si="1"/>
        <v>463.91470475765277</v>
      </c>
      <c r="M17" s="85">
        <f t="shared" si="2"/>
        <v>609.46376511534356</v>
      </c>
      <c r="N17" s="86">
        <f t="shared" si="3"/>
        <v>6799.1965974504083</v>
      </c>
      <c r="O17" s="85">
        <f>('FNC-ORD_prospetto riassuntivo'!$B$11-N17)*Q17</f>
        <v>43200.803402549594</v>
      </c>
      <c r="P17" s="85">
        <f>K17/(1+SUM('FNC-ORD_prospetto riassuntivo'!$B$29:$B$30)/'FNC-ORD_prospetto riassuntivo'!$B$24)^J17</f>
        <v>136.56133167675594</v>
      </c>
      <c r="Q17">
        <f>IF(J17=0,0,IF(OR(J17&lt;'FNC-ORD_prospetto riassuntivo'!$B$23+'FNC-ORD_prospetto riassuntivo'!$B$26,J17='FNC-ORD_prospetto riassuntivo'!$B$23+'FNC-ORD_prospetto riassuntivo'!$B$26),1,0))</f>
        <v>1</v>
      </c>
    </row>
    <row r="18" spans="1:17" x14ac:dyDescent="0.25">
      <c r="A18" s="84">
        <f>IF(A17=0,0,IF('FNC-ORD_prospetto riassuntivo'!$B$23&gt;A17,A17+1,0))</f>
        <v>0</v>
      </c>
      <c r="B18" s="85">
        <f>'FNC-ORD_prospetto riassuntivo'!$B$11*'FNC-ORD_prospetto riassuntivo'!$B$27*H18</f>
        <v>0</v>
      </c>
      <c r="C18" s="85">
        <v>0</v>
      </c>
      <c r="D18" s="85">
        <f t="shared" si="0"/>
        <v>0</v>
      </c>
      <c r="E18" s="85">
        <v>0</v>
      </c>
      <c r="F18" s="85">
        <f>'FNC-ORD_prospetto riassuntivo'!$B$11</f>
        <v>50000</v>
      </c>
      <c r="G18" s="85">
        <f>B18/((1+IFERROR(SUM('FNC-ORD_prospetto riassuntivo'!$B$29,'FNC-ORD_prospetto riassuntivo'!$B$30)/'FNC-ORD_prospetto riassuntivo'!$B$21,0))^A18)</f>
        <v>0</v>
      </c>
      <c r="H18">
        <f>IF(A18=0,0,IF(OR(A18&lt;'FNC-ORD_prospetto riassuntivo'!$B$23,A18='FNC-ORD_prospetto riassuntivo'!$B$23),1,0))</f>
        <v>0</v>
      </c>
      <c r="J18" s="84">
        <f>IF(J17=0,0,IF('FNC-ORD_prospetto riassuntivo'!$B$23+'FNC-ORD_prospetto riassuntivo'!$B$26&gt;J17,J17+1,0))</f>
        <v>16</v>
      </c>
      <c r="K18" s="85">
        <f>O17*'FNC-ORD_prospetto riassuntivo'!$B$28*Q18</f>
        <v>144.00267800849866</v>
      </c>
      <c r="L18" s="85">
        <f t="shared" si="1"/>
        <v>465.4610871068449</v>
      </c>
      <c r="M18" s="85">
        <f t="shared" si="2"/>
        <v>609.46376511534356</v>
      </c>
      <c r="N18" s="86">
        <f t="shared" si="3"/>
        <v>7264.6576845572536</v>
      </c>
      <c r="O18" s="85">
        <f>('FNC-ORD_prospetto riassuntivo'!$B$11-N18)*Q18</f>
        <v>42735.342315442744</v>
      </c>
      <c r="P18" s="85">
        <f>K18/(1+SUM('FNC-ORD_prospetto riassuntivo'!$B$29:$B$30)/'FNC-ORD_prospetto riassuntivo'!$B$24)^J18</f>
        <v>134.5375335622507</v>
      </c>
      <c r="Q18">
        <f>IF(J18=0,0,IF(OR(J18&lt;'FNC-ORD_prospetto riassuntivo'!$B$23+'FNC-ORD_prospetto riassuntivo'!$B$26,J18='FNC-ORD_prospetto riassuntivo'!$B$23+'FNC-ORD_prospetto riassuntivo'!$B$26),1,0))</f>
        <v>1</v>
      </c>
    </row>
    <row r="19" spans="1:17" x14ac:dyDescent="0.25">
      <c r="A19" s="84">
        <f>IF(A18=0,0,IF('FNC-ORD_prospetto riassuntivo'!$B$23&gt;A18,A18+1,0))</f>
        <v>0</v>
      </c>
      <c r="B19" s="85">
        <f>'FNC-ORD_prospetto riassuntivo'!$B$11*'FNC-ORD_prospetto riassuntivo'!$B$27*H19</f>
        <v>0</v>
      </c>
      <c r="C19" s="85">
        <v>0</v>
      </c>
      <c r="D19" s="85">
        <f t="shared" si="0"/>
        <v>0</v>
      </c>
      <c r="E19" s="85">
        <v>0</v>
      </c>
      <c r="F19" s="85">
        <f>'FNC-ORD_prospetto riassuntivo'!$B$11</f>
        <v>50000</v>
      </c>
      <c r="G19" s="85">
        <f>B19/((1+IFERROR(SUM('FNC-ORD_prospetto riassuntivo'!$B$29,'FNC-ORD_prospetto riassuntivo'!$B$30)/'FNC-ORD_prospetto riassuntivo'!$B$21,0))^A19)</f>
        <v>0</v>
      </c>
      <c r="H19">
        <f>IF(A19=0,0,IF(OR(A19&lt;'FNC-ORD_prospetto riassuntivo'!$B$23,A19='FNC-ORD_prospetto riassuntivo'!$B$23),1,0))</f>
        <v>0</v>
      </c>
      <c r="J19" s="84">
        <f>IF(J18=0,0,IF('FNC-ORD_prospetto riassuntivo'!$B$23+'FNC-ORD_prospetto riassuntivo'!$B$26&gt;J18,J18+1,0))</f>
        <v>17</v>
      </c>
      <c r="K19" s="85">
        <f>O18*'FNC-ORD_prospetto riassuntivo'!$B$28*Q19</f>
        <v>142.45114105147582</v>
      </c>
      <c r="L19" s="85">
        <f t="shared" si="1"/>
        <v>467.01262406386775</v>
      </c>
      <c r="M19" s="85">
        <f t="shared" si="2"/>
        <v>609.46376511534356</v>
      </c>
      <c r="N19" s="86">
        <f t="shared" si="3"/>
        <v>7731.670308621121</v>
      </c>
      <c r="O19" s="85">
        <f>('FNC-ORD_prospetto riassuntivo'!$B$11-N19)*Q19</f>
        <v>42268.32969137888</v>
      </c>
      <c r="P19" s="85">
        <f>K19/(1+SUM('FNC-ORD_prospetto riassuntivo'!$B$29:$B$30)/'FNC-ORD_prospetto riassuntivo'!$B$24)^J19</f>
        <v>132.52364763008518</v>
      </c>
      <c r="Q19">
        <f>IF(J19=0,0,IF(OR(J19&lt;'FNC-ORD_prospetto riassuntivo'!$B$23+'FNC-ORD_prospetto riassuntivo'!$B$26,J19='FNC-ORD_prospetto riassuntivo'!$B$23+'FNC-ORD_prospetto riassuntivo'!$B$26),1,0))</f>
        <v>1</v>
      </c>
    </row>
    <row r="20" spans="1:17" x14ac:dyDescent="0.25">
      <c r="A20" s="84">
        <f>IF(A19=0,0,IF('FNC-ORD_prospetto riassuntivo'!$B$23&gt;A19,A19+1,0))</f>
        <v>0</v>
      </c>
      <c r="B20" s="85">
        <f>'FNC-ORD_prospetto riassuntivo'!$B$11*'FNC-ORD_prospetto riassuntivo'!$B$27*H20</f>
        <v>0</v>
      </c>
      <c r="C20" s="85">
        <v>0</v>
      </c>
      <c r="D20" s="85">
        <f t="shared" si="0"/>
        <v>0</v>
      </c>
      <c r="E20" s="85">
        <v>0</v>
      </c>
      <c r="F20" s="85">
        <f>'FNC-ORD_prospetto riassuntivo'!$B$11</f>
        <v>50000</v>
      </c>
      <c r="G20" s="85">
        <f>B20/((1+IFERROR(SUM('FNC-ORD_prospetto riassuntivo'!$B$29,'FNC-ORD_prospetto riassuntivo'!$B$30)/'FNC-ORD_prospetto riassuntivo'!$B$21,0))^A20)</f>
        <v>0</v>
      </c>
      <c r="H20">
        <f>IF(A20=0,0,IF(OR(A20&lt;'FNC-ORD_prospetto riassuntivo'!$B$23,A20='FNC-ORD_prospetto riassuntivo'!$B$23),1,0))</f>
        <v>0</v>
      </c>
      <c r="J20" s="84">
        <f>IF(J19=0,0,IF('FNC-ORD_prospetto riassuntivo'!$B$23+'FNC-ORD_prospetto riassuntivo'!$B$26&gt;J19,J19+1,0))</f>
        <v>18</v>
      </c>
      <c r="K20" s="85">
        <f>O19*'FNC-ORD_prospetto riassuntivo'!$B$28*Q20</f>
        <v>140.89443230459628</v>
      </c>
      <c r="L20" s="85">
        <f t="shared" si="1"/>
        <v>468.56933281074726</v>
      </c>
      <c r="M20" s="85">
        <f t="shared" si="2"/>
        <v>609.46376511534356</v>
      </c>
      <c r="N20" s="86">
        <f t="shared" si="3"/>
        <v>8200.2396414318682</v>
      </c>
      <c r="O20" s="85">
        <f>('FNC-ORD_prospetto riassuntivo'!$B$11-N20)*Q20</f>
        <v>41799.760358568135</v>
      </c>
      <c r="P20" s="85">
        <f>K20/(1+SUM('FNC-ORD_prospetto riassuntivo'!$B$29:$B$30)/'FNC-ORD_prospetto riassuntivo'!$B$24)^J20</f>
        <v>130.51963062416758</v>
      </c>
      <c r="Q20">
        <f>IF(J20=0,0,IF(OR(J20&lt;'FNC-ORD_prospetto riassuntivo'!$B$23+'FNC-ORD_prospetto riassuntivo'!$B$26,J20='FNC-ORD_prospetto riassuntivo'!$B$23+'FNC-ORD_prospetto riassuntivo'!$B$26),1,0))</f>
        <v>1</v>
      </c>
    </row>
    <row r="21" spans="1:17" x14ac:dyDescent="0.25">
      <c r="A21" s="84">
        <f>IF(A20=0,0,IF('FNC-ORD_prospetto riassuntivo'!$B$23&gt;A20,A20+1,0))</f>
        <v>0</v>
      </c>
      <c r="B21" s="85">
        <f>'FNC-ORD_prospetto riassuntivo'!$B$11*'FNC-ORD_prospetto riassuntivo'!$B$27*H21</f>
        <v>0</v>
      </c>
      <c r="C21" s="85">
        <v>0</v>
      </c>
      <c r="D21" s="85">
        <f t="shared" si="0"/>
        <v>0</v>
      </c>
      <c r="E21" s="85">
        <v>0</v>
      </c>
      <c r="F21" s="85">
        <f>'FNC-ORD_prospetto riassuntivo'!$B$11</f>
        <v>50000</v>
      </c>
      <c r="G21" s="85">
        <f>B21/((1+IFERROR(SUM('FNC-ORD_prospetto riassuntivo'!$B$29,'FNC-ORD_prospetto riassuntivo'!$B$30)/'FNC-ORD_prospetto riassuntivo'!$B$21,0))^A21)</f>
        <v>0</v>
      </c>
      <c r="H21">
        <f>IF(A21=0,0,IF(OR(A21&lt;'FNC-ORD_prospetto riassuntivo'!$B$23,A21='FNC-ORD_prospetto riassuntivo'!$B$23),1,0))</f>
        <v>0</v>
      </c>
      <c r="J21" s="84">
        <f>IF(J20=0,0,IF('FNC-ORD_prospetto riassuntivo'!$B$23+'FNC-ORD_prospetto riassuntivo'!$B$26&gt;J20,J20+1,0))</f>
        <v>19</v>
      </c>
      <c r="K21" s="85">
        <f>O20*'FNC-ORD_prospetto riassuntivo'!$B$28*Q21</f>
        <v>139.33253452856047</v>
      </c>
      <c r="L21" s="85">
        <f t="shared" si="1"/>
        <v>470.13123058678309</v>
      </c>
      <c r="M21" s="85">
        <f t="shared" si="2"/>
        <v>609.46376511534356</v>
      </c>
      <c r="N21" s="86">
        <f t="shared" si="3"/>
        <v>8670.3708720186514</v>
      </c>
      <c r="O21" s="85">
        <f>('FNC-ORD_prospetto riassuntivo'!$B$11-N21)*Q21</f>
        <v>41329.629127981345</v>
      </c>
      <c r="P21" s="85">
        <f>K21/(1+SUM('FNC-ORD_prospetto riassuntivo'!$B$29:$B$30)/'FNC-ORD_prospetto riassuntivo'!$B$24)^J21</f>
        <v>128.52543947295268</v>
      </c>
      <c r="Q21">
        <f>IF(J21=0,0,IF(OR(J21&lt;'FNC-ORD_prospetto riassuntivo'!$B$23+'FNC-ORD_prospetto riassuntivo'!$B$26,J21='FNC-ORD_prospetto riassuntivo'!$B$23+'FNC-ORD_prospetto riassuntivo'!$B$26),1,0))</f>
        <v>1</v>
      </c>
    </row>
    <row r="22" spans="1:17" x14ac:dyDescent="0.25">
      <c r="A22" s="84">
        <f>IF(A21=0,0,IF('FNC-ORD_prospetto riassuntivo'!$B$23&gt;A21,A21+1,0))</f>
        <v>0</v>
      </c>
      <c r="B22" s="85">
        <f>'FNC-ORD_prospetto riassuntivo'!$B$11*'FNC-ORD_prospetto riassuntivo'!$B$27*H22</f>
        <v>0</v>
      </c>
      <c r="C22" s="85">
        <v>0</v>
      </c>
      <c r="D22" s="85">
        <f t="shared" si="0"/>
        <v>0</v>
      </c>
      <c r="E22" s="85">
        <v>0</v>
      </c>
      <c r="F22" s="85">
        <f>'FNC-ORD_prospetto riassuntivo'!$B$11</f>
        <v>50000</v>
      </c>
      <c r="G22" s="85">
        <f>B22/((1+IFERROR(SUM('FNC-ORD_prospetto riassuntivo'!$B$29,'FNC-ORD_prospetto riassuntivo'!$B$30)/'FNC-ORD_prospetto riassuntivo'!$B$21,0))^A22)</f>
        <v>0</v>
      </c>
      <c r="H22">
        <f>IF(A22=0,0,IF(OR(A22&lt;'FNC-ORD_prospetto riassuntivo'!$B$23,A22='FNC-ORD_prospetto riassuntivo'!$B$23),1,0))</f>
        <v>0</v>
      </c>
      <c r="J22" s="84">
        <f>IF(J21=0,0,IF('FNC-ORD_prospetto riassuntivo'!$B$23+'FNC-ORD_prospetto riassuntivo'!$B$26&gt;J21,J21+1,0))</f>
        <v>20</v>
      </c>
      <c r="K22" s="85">
        <f>O21*'FNC-ORD_prospetto riassuntivo'!$B$28*Q22</f>
        <v>137.7654304266045</v>
      </c>
      <c r="L22" s="85">
        <f t="shared" si="1"/>
        <v>471.69833468873907</v>
      </c>
      <c r="M22" s="85">
        <f t="shared" si="2"/>
        <v>609.46376511534356</v>
      </c>
      <c r="N22" s="86">
        <f t="shared" si="3"/>
        <v>9142.0692067073905</v>
      </c>
      <c r="O22" s="85">
        <f>('FNC-ORD_prospetto riassuntivo'!$B$11-N22)*Q22</f>
        <v>40857.930793292609</v>
      </c>
      <c r="P22" s="85">
        <f>K22/(1+SUM('FNC-ORD_prospetto riassuntivo'!$B$29:$B$30)/'FNC-ORD_prospetto riassuntivo'!$B$24)^J22</f>
        <v>126.54103128865869</v>
      </c>
      <c r="Q22">
        <f>IF(J22=0,0,IF(OR(J22&lt;'FNC-ORD_prospetto riassuntivo'!$B$23+'FNC-ORD_prospetto riassuntivo'!$B$26,J22='FNC-ORD_prospetto riassuntivo'!$B$23+'FNC-ORD_prospetto riassuntivo'!$B$26),1,0))</f>
        <v>1</v>
      </c>
    </row>
    <row r="23" spans="1:17" x14ac:dyDescent="0.25">
      <c r="A23" s="84">
        <f>IF(A22=0,0,IF('FNC-ORD_prospetto riassuntivo'!$B$23&gt;A22,A22+1,0))</f>
        <v>0</v>
      </c>
      <c r="B23" s="85">
        <f>'FNC-ORD_prospetto riassuntivo'!$B$11*'FNC-ORD_prospetto riassuntivo'!$B$27*H23</f>
        <v>0</v>
      </c>
      <c r="C23" s="85">
        <v>0</v>
      </c>
      <c r="D23" s="85">
        <f t="shared" si="0"/>
        <v>0</v>
      </c>
      <c r="E23" s="85">
        <v>0</v>
      </c>
      <c r="F23" s="85">
        <f>'FNC-ORD_prospetto riassuntivo'!$B$11</f>
        <v>50000</v>
      </c>
      <c r="G23" s="85">
        <f>B23/((1+IFERROR(SUM('FNC-ORD_prospetto riassuntivo'!$B$29,'FNC-ORD_prospetto riassuntivo'!$B$30)/'FNC-ORD_prospetto riassuntivo'!$B$21,0))^A23)</f>
        <v>0</v>
      </c>
      <c r="H23">
        <f>IF(A23=0,0,IF(OR(A23&lt;'FNC-ORD_prospetto riassuntivo'!$B$23,A23='FNC-ORD_prospetto riassuntivo'!$B$23),1,0))</f>
        <v>0</v>
      </c>
      <c r="J23" s="84">
        <f>IF(J22=0,0,IF('FNC-ORD_prospetto riassuntivo'!$B$23+'FNC-ORD_prospetto riassuntivo'!$B$26&gt;J22,J22+1,0))</f>
        <v>21</v>
      </c>
      <c r="K23" s="85">
        <f>O22*'FNC-ORD_prospetto riassuntivo'!$B$28*Q23</f>
        <v>136.19310264430871</v>
      </c>
      <c r="L23" s="85">
        <f t="shared" si="1"/>
        <v>473.27066247103483</v>
      </c>
      <c r="M23" s="85">
        <f t="shared" si="2"/>
        <v>609.46376511534356</v>
      </c>
      <c r="N23" s="86">
        <f t="shared" si="3"/>
        <v>9615.3398691784259</v>
      </c>
      <c r="O23" s="85">
        <f>('FNC-ORD_prospetto riassuntivo'!$B$11-N23)*Q23</f>
        <v>40384.660130821576</v>
      </c>
      <c r="P23" s="85">
        <f>K23/(1+SUM('FNC-ORD_prospetto riassuntivo'!$B$29:$B$30)/'FNC-ORD_prospetto riassuntivo'!$B$24)^J23</f>
        <v>124.56636336648663</v>
      </c>
      <c r="Q23">
        <f>IF(J23=0,0,IF(OR(J23&lt;'FNC-ORD_prospetto riassuntivo'!$B$23+'FNC-ORD_prospetto riassuntivo'!$B$26,J23='FNC-ORD_prospetto riassuntivo'!$B$23+'FNC-ORD_prospetto riassuntivo'!$B$26),1,0))</f>
        <v>1</v>
      </c>
    </row>
    <row r="24" spans="1:17" x14ac:dyDescent="0.25">
      <c r="A24" s="84">
        <f>IF(A23=0,0,IF('FNC-ORD_prospetto riassuntivo'!$B$23&gt;A23,A23+1,0))</f>
        <v>0</v>
      </c>
      <c r="B24" s="85">
        <f>'FNC-ORD_prospetto riassuntivo'!$B$11*'FNC-ORD_prospetto riassuntivo'!$B$27*H24</f>
        <v>0</v>
      </c>
      <c r="C24" s="85">
        <v>0</v>
      </c>
      <c r="D24" s="85">
        <f t="shared" si="0"/>
        <v>0</v>
      </c>
      <c r="E24" s="85">
        <v>0</v>
      </c>
      <c r="F24" s="85">
        <f>'FNC-ORD_prospetto riassuntivo'!$B$11</f>
        <v>50000</v>
      </c>
      <c r="G24" s="85">
        <f>B24/((1+IFERROR(SUM('FNC-ORD_prospetto riassuntivo'!$B$29,'FNC-ORD_prospetto riassuntivo'!$B$30)/'FNC-ORD_prospetto riassuntivo'!$B$21,0))^A24)</f>
        <v>0</v>
      </c>
      <c r="H24">
        <f>IF(A24=0,0,IF(OR(A24&lt;'FNC-ORD_prospetto riassuntivo'!$B$23,A24='FNC-ORD_prospetto riassuntivo'!$B$23),1,0))</f>
        <v>0</v>
      </c>
      <c r="J24" s="84">
        <f>IF(J23=0,0,IF('FNC-ORD_prospetto riassuntivo'!$B$23+'FNC-ORD_prospetto riassuntivo'!$B$26&gt;J23,J23+1,0))</f>
        <v>22</v>
      </c>
      <c r="K24" s="85">
        <f>O23*'FNC-ORD_prospetto riassuntivo'!$B$28*Q24</f>
        <v>134.61553376940526</v>
      </c>
      <c r="L24" s="85">
        <f t="shared" si="1"/>
        <v>474.8482313459383</v>
      </c>
      <c r="M24" s="85">
        <f t="shared" si="2"/>
        <v>609.46376511534356</v>
      </c>
      <c r="N24" s="86">
        <f t="shared" si="3"/>
        <v>10090.188100524365</v>
      </c>
      <c r="O24" s="85">
        <f>('FNC-ORD_prospetto riassuntivo'!$B$11-N24)*Q24</f>
        <v>39909.811899475637</v>
      </c>
      <c r="P24" s="85">
        <f>K24/(1+SUM('FNC-ORD_prospetto riassuntivo'!$B$29:$B$30)/'FNC-ORD_prospetto riassuntivo'!$B$24)^J24</f>
        <v>122.60139318384357</v>
      </c>
      <c r="Q24">
        <f>IF(J24=0,0,IF(OR(J24&lt;'FNC-ORD_prospetto riassuntivo'!$B$23+'FNC-ORD_prospetto riassuntivo'!$B$26,J24='FNC-ORD_prospetto riassuntivo'!$B$23+'FNC-ORD_prospetto riassuntivo'!$B$26),1,0))</f>
        <v>1</v>
      </c>
    </row>
    <row r="25" spans="1:17" x14ac:dyDescent="0.25">
      <c r="A25" s="84">
        <f>IF(A24=0,0,IF('FNC-ORD_prospetto riassuntivo'!$B$23&gt;A24,A24+1,0))</f>
        <v>0</v>
      </c>
      <c r="B25" s="85">
        <f>'FNC-ORD_prospetto riassuntivo'!$B$11*'FNC-ORD_prospetto riassuntivo'!$B$27*H25</f>
        <v>0</v>
      </c>
      <c r="C25" s="85">
        <v>0</v>
      </c>
      <c r="D25" s="85">
        <f t="shared" si="0"/>
        <v>0</v>
      </c>
      <c r="E25" s="85">
        <v>0</v>
      </c>
      <c r="F25" s="85">
        <f>'FNC-ORD_prospetto riassuntivo'!$B$11</f>
        <v>50000</v>
      </c>
      <c r="G25" s="85">
        <f>B25/((1+IFERROR(SUM('FNC-ORD_prospetto riassuntivo'!$B$29,'FNC-ORD_prospetto riassuntivo'!$B$30)/'FNC-ORD_prospetto riassuntivo'!$B$21,0))^A25)</f>
        <v>0</v>
      </c>
      <c r="H25">
        <f>IF(A25=0,0,IF(OR(A25&lt;'FNC-ORD_prospetto riassuntivo'!$B$23,A25='FNC-ORD_prospetto riassuntivo'!$B$23),1,0))</f>
        <v>0</v>
      </c>
      <c r="J25" s="84">
        <f>IF(J24=0,0,IF('FNC-ORD_prospetto riassuntivo'!$B$23+'FNC-ORD_prospetto riassuntivo'!$B$26&gt;J24,J24+1,0))</f>
        <v>23</v>
      </c>
      <c r="K25" s="85">
        <f>O24*'FNC-ORD_prospetto riassuntivo'!$B$28*Q25</f>
        <v>133.03270633158547</v>
      </c>
      <c r="L25" s="85">
        <f t="shared" si="1"/>
        <v>476.43105878375809</v>
      </c>
      <c r="M25" s="85">
        <f t="shared" si="2"/>
        <v>609.46376511534356</v>
      </c>
      <c r="N25" s="86">
        <f t="shared" si="3"/>
        <v>10566.619159308124</v>
      </c>
      <c r="O25" s="85">
        <f>('FNC-ORD_prospetto riassuntivo'!$B$11-N25)*Q25</f>
        <v>39433.380840691876</v>
      </c>
      <c r="P25" s="85">
        <f>K25/(1+SUM('FNC-ORD_prospetto riassuntivo'!$B$29:$B$30)/'FNC-ORD_prospetto riassuntivo'!$B$24)^J25</f>
        <v>120.64607839956898</v>
      </c>
      <c r="Q25">
        <f>IF(J25=0,0,IF(OR(J25&lt;'FNC-ORD_prospetto riassuntivo'!$B$23+'FNC-ORD_prospetto riassuntivo'!$B$26,J25='FNC-ORD_prospetto riassuntivo'!$B$23+'FNC-ORD_prospetto riassuntivo'!$B$26),1,0))</f>
        <v>1</v>
      </c>
    </row>
    <row r="26" spans="1:17" x14ac:dyDescent="0.25">
      <c r="A26" s="84">
        <f>IF(A25=0,0,IF('FNC-ORD_prospetto riassuntivo'!$B$23&gt;A25,A25+1,0))</f>
        <v>0</v>
      </c>
      <c r="B26" s="85">
        <f>'FNC-ORD_prospetto riassuntivo'!$B$11*'FNC-ORD_prospetto riassuntivo'!$B$27*H26</f>
        <v>0</v>
      </c>
      <c r="C26" s="85">
        <v>0</v>
      </c>
      <c r="D26" s="85">
        <f t="shared" si="0"/>
        <v>0</v>
      </c>
      <c r="E26" s="85">
        <v>0</v>
      </c>
      <c r="F26" s="85">
        <f>'FNC-ORD_prospetto riassuntivo'!$B$11</f>
        <v>50000</v>
      </c>
      <c r="G26" s="85">
        <f>B26/((1+IFERROR(SUM('FNC-ORD_prospetto riassuntivo'!$B$29,'FNC-ORD_prospetto riassuntivo'!$B$30)/'FNC-ORD_prospetto riassuntivo'!$B$21,0))^A26)</f>
        <v>0</v>
      </c>
      <c r="H26">
        <f>IF(A26=0,0,IF(OR(A26&lt;'FNC-ORD_prospetto riassuntivo'!$B$23,A26='FNC-ORD_prospetto riassuntivo'!$B$23),1,0))</f>
        <v>0</v>
      </c>
      <c r="J26" s="84">
        <f>IF(J25=0,0,IF('FNC-ORD_prospetto riassuntivo'!$B$23+'FNC-ORD_prospetto riassuntivo'!$B$26&gt;J25,J25+1,0))</f>
        <v>24</v>
      </c>
      <c r="K26" s="85">
        <f>O25*'FNC-ORD_prospetto riassuntivo'!$B$28*Q26</f>
        <v>131.44460280230626</v>
      </c>
      <c r="L26" s="85">
        <f t="shared" si="1"/>
        <v>478.01916231303733</v>
      </c>
      <c r="M26" s="85">
        <f t="shared" si="2"/>
        <v>609.46376511534356</v>
      </c>
      <c r="N26" s="86">
        <f t="shared" si="3"/>
        <v>11044.638321621162</v>
      </c>
      <c r="O26" s="85">
        <f>('FNC-ORD_prospetto riassuntivo'!$B$11-N26)*Q26</f>
        <v>38955.361678378838</v>
      </c>
      <c r="P26" s="85">
        <f>K26/(1+SUM('FNC-ORD_prospetto riassuntivo'!$B$29:$B$30)/'FNC-ORD_prospetto riassuntivo'!$B$24)^J26</f>
        <v>118.70037685316422</v>
      </c>
      <c r="Q26">
        <f>IF(J26=0,0,IF(OR(J26&lt;'FNC-ORD_prospetto riassuntivo'!$B$23+'FNC-ORD_prospetto riassuntivo'!$B$26,J26='FNC-ORD_prospetto riassuntivo'!$B$23+'FNC-ORD_prospetto riassuntivo'!$B$26),1,0))</f>
        <v>1</v>
      </c>
    </row>
    <row r="27" spans="1:17" x14ac:dyDescent="0.25">
      <c r="J27" s="84">
        <f>IF(J26=0,0,IF('FNC-ORD_prospetto riassuntivo'!$B$23+'FNC-ORD_prospetto riassuntivo'!$B$26&gt;J26,J26+1,0))</f>
        <v>25</v>
      </c>
      <c r="K27" s="85">
        <f>O26*'FNC-ORD_prospetto riassuntivo'!$B$28*Q27</f>
        <v>129.85120559459614</v>
      </c>
      <c r="L27" s="85">
        <f t="shared" si="1"/>
        <v>479.61255952074742</v>
      </c>
      <c r="M27" s="85">
        <f t="shared" si="2"/>
        <v>609.46376511534356</v>
      </c>
      <c r="N27" s="86">
        <f t="shared" si="3"/>
        <v>11524.250881141908</v>
      </c>
      <c r="O27" s="85">
        <f>('FNC-ORD_prospetto riassuntivo'!$B$11-N27)*Q27</f>
        <v>38475.74911885809</v>
      </c>
      <c r="P27" s="85">
        <f>K27/(1+SUM('FNC-ORD_prospetto riassuntivo'!$B$29:$B$30)/'FNC-ORD_prospetto riassuntivo'!$B$24)^J27</f>
        <v>116.76424656402578</v>
      </c>
      <c r="Q27">
        <f>IF(J27=0,0,IF(OR(J27&lt;'FNC-ORD_prospetto riassuntivo'!$B$23+'FNC-ORD_prospetto riassuntivo'!$B$26,J27='FNC-ORD_prospetto riassuntivo'!$B$23+'FNC-ORD_prospetto riassuntivo'!$B$26),1,0))</f>
        <v>1</v>
      </c>
    </row>
    <row r="28" spans="1:17" x14ac:dyDescent="0.25">
      <c r="J28" s="84">
        <f>IF(J27=0,0,IF('FNC-ORD_prospetto riassuntivo'!$B$23+'FNC-ORD_prospetto riassuntivo'!$B$26&gt;J27,J27+1,0))</f>
        <v>26</v>
      </c>
      <c r="K28" s="85">
        <f>O27*'FNC-ORD_prospetto riassuntivo'!$B$28*Q28</f>
        <v>128.2524970628603</v>
      </c>
      <c r="L28" s="85">
        <f t="shared" si="1"/>
        <v>481.21126805248326</v>
      </c>
      <c r="M28" s="85">
        <f t="shared" si="2"/>
        <v>609.46376511534356</v>
      </c>
      <c r="N28" s="86">
        <f t="shared" si="3"/>
        <v>12005.462149194391</v>
      </c>
      <c r="O28" s="85">
        <f>('FNC-ORD_prospetto riassuntivo'!$B$11-N28)*Q28</f>
        <v>37994.537850805609</v>
      </c>
      <c r="P28" s="85">
        <f>K28/(1+SUM('FNC-ORD_prospetto riassuntivo'!$B$29:$B$30)/'FNC-ORD_prospetto riassuntivo'!$B$24)^J28</f>
        <v>114.83764573068103</v>
      </c>
      <c r="Q28">
        <f>IF(J28=0,0,IF(OR(J28&lt;'FNC-ORD_prospetto riassuntivo'!$B$23+'FNC-ORD_prospetto riassuntivo'!$B$26,J28='FNC-ORD_prospetto riassuntivo'!$B$23+'FNC-ORD_prospetto riassuntivo'!$B$26),1,0))</f>
        <v>1</v>
      </c>
    </row>
    <row r="29" spans="1:17" x14ac:dyDescent="0.25">
      <c r="J29" s="84">
        <f>IF(J28=0,0,IF('FNC-ORD_prospetto riassuntivo'!$B$23+'FNC-ORD_prospetto riassuntivo'!$B$26&gt;J28,J28+1,0))</f>
        <v>27</v>
      </c>
      <c r="K29" s="85">
        <f>O28*'FNC-ORD_prospetto riassuntivo'!$B$28*Q29</f>
        <v>126.64845950268537</v>
      </c>
      <c r="L29" s="85">
        <f t="shared" si="1"/>
        <v>482.81530561265822</v>
      </c>
      <c r="M29" s="85">
        <f t="shared" si="2"/>
        <v>609.46376511534356</v>
      </c>
      <c r="N29" s="86">
        <f t="shared" si="3"/>
        <v>12488.277454807048</v>
      </c>
      <c r="O29" s="85">
        <f>('FNC-ORD_prospetto riassuntivo'!$B$11-N29)*Q29</f>
        <v>37511.722545192955</v>
      </c>
      <c r="P29" s="85">
        <f>K29/(1+SUM('FNC-ORD_prospetto riassuntivo'!$B$29:$B$30)/'FNC-ORD_prospetto riassuntivo'!$B$24)^J29</f>
        <v>112.92053273002796</v>
      </c>
      <c r="Q29">
        <f>IF(J29=0,0,IF(OR(J29&lt;'FNC-ORD_prospetto riassuntivo'!$B$23+'FNC-ORD_prospetto riassuntivo'!$B$26,J29='FNC-ORD_prospetto riassuntivo'!$B$23+'FNC-ORD_prospetto riassuntivo'!$B$26),1,0))</f>
        <v>1</v>
      </c>
    </row>
    <row r="30" spans="1:17" x14ac:dyDescent="0.25">
      <c r="J30" s="84">
        <f>IF(J29=0,0,IF('FNC-ORD_prospetto riassuntivo'!$B$23+'FNC-ORD_prospetto riassuntivo'!$B$26&gt;J29,J29+1,0))</f>
        <v>28</v>
      </c>
      <c r="K30" s="85">
        <f>O29*'FNC-ORD_prospetto riassuntivo'!$B$28*Q30</f>
        <v>125.03907515064319</v>
      </c>
      <c r="L30" s="85">
        <f t="shared" si="1"/>
        <v>484.42468996470041</v>
      </c>
      <c r="M30" s="85">
        <f t="shared" si="2"/>
        <v>609.46376511534356</v>
      </c>
      <c r="N30" s="86">
        <f t="shared" si="3"/>
        <v>12972.702144771749</v>
      </c>
      <c r="O30" s="85">
        <f>('FNC-ORD_prospetto riassuntivo'!$B$11-N30)*Q30</f>
        <v>37027.297855228251</v>
      </c>
      <c r="P30" s="85">
        <f>K30/(1+SUM('FNC-ORD_prospetto riassuntivo'!$B$29:$B$30)/'FNC-ORD_prospetto riassuntivo'!$B$24)^J30</f>
        <v>111.0128661165776</v>
      </c>
      <c r="Q30">
        <f>IF(J30=0,0,IF(OR(J30&lt;'FNC-ORD_prospetto riassuntivo'!$B$23+'FNC-ORD_prospetto riassuntivo'!$B$26,J30='FNC-ORD_prospetto riassuntivo'!$B$23+'FNC-ORD_prospetto riassuntivo'!$B$26),1,0))</f>
        <v>1</v>
      </c>
    </row>
    <row r="31" spans="1:17" x14ac:dyDescent="0.25">
      <c r="J31" s="84">
        <f>IF(J30=0,0,IF('FNC-ORD_prospetto riassuntivo'!$B$23+'FNC-ORD_prospetto riassuntivo'!$B$26&gt;J30,J30+1,0))</f>
        <v>29</v>
      </c>
      <c r="K31" s="85">
        <f>O30*'FNC-ORD_prospetto riassuntivo'!$B$28*Q31</f>
        <v>123.42432618409418</v>
      </c>
      <c r="L31" s="85">
        <f t="shared" si="1"/>
        <v>486.03943893124938</v>
      </c>
      <c r="M31" s="85">
        <f t="shared" si="2"/>
        <v>609.46376511534356</v>
      </c>
      <c r="N31" s="86">
        <f t="shared" si="3"/>
        <v>13458.741583702998</v>
      </c>
      <c r="O31" s="85">
        <f>('FNC-ORD_prospetto riassuntivo'!$B$11-N31)*Q31</f>
        <v>36541.258416297002</v>
      </c>
      <c r="P31" s="85">
        <f>K31/(1+SUM('FNC-ORD_prospetto riassuntivo'!$B$29:$B$30)/'FNC-ORD_prospetto riassuntivo'!$B$24)^J31</f>
        <v>109.11460462169995</v>
      </c>
      <c r="Q31">
        <f>IF(J31=0,0,IF(OR(J31&lt;'FNC-ORD_prospetto riassuntivo'!$B$23+'FNC-ORD_prospetto riassuntivo'!$B$26,J31='FNC-ORD_prospetto riassuntivo'!$B$23+'FNC-ORD_prospetto riassuntivo'!$B$26),1,0))</f>
        <v>1</v>
      </c>
    </row>
    <row r="32" spans="1:17" x14ac:dyDescent="0.25">
      <c r="J32" s="84">
        <f>IF(J31=0,0,IF('FNC-ORD_prospetto riassuntivo'!$B$23+'FNC-ORD_prospetto riassuntivo'!$B$26&gt;J31,J31+1,0))</f>
        <v>30</v>
      </c>
      <c r="K32" s="85">
        <f>O31*'FNC-ORD_prospetto riassuntivo'!$B$28*Q32</f>
        <v>121.80419472099001</v>
      </c>
      <c r="L32" s="85">
        <f t="shared" si="1"/>
        <v>487.65957039435352</v>
      </c>
      <c r="M32" s="85">
        <f t="shared" si="2"/>
        <v>609.46376511534356</v>
      </c>
      <c r="N32" s="86">
        <f t="shared" si="3"/>
        <v>13946.401154097352</v>
      </c>
      <c r="O32" s="85">
        <f>('FNC-ORD_prospetto riassuntivo'!$B$11-N32)*Q32</f>
        <v>36053.598845902648</v>
      </c>
      <c r="P32" s="85">
        <f>K32/(1+SUM('FNC-ORD_prospetto riassuntivo'!$B$29:$B$30)/'FNC-ORD_prospetto riassuntivo'!$B$24)^J32</f>
        <v>107.22570715287299</v>
      </c>
      <c r="Q32">
        <f>IF(J32=0,0,IF(OR(J32&lt;'FNC-ORD_prospetto riassuntivo'!$B$23+'FNC-ORD_prospetto riassuntivo'!$B$26,J32='FNC-ORD_prospetto riassuntivo'!$B$23+'FNC-ORD_prospetto riassuntivo'!$B$26),1,0))</f>
        <v>1</v>
      </c>
    </row>
    <row r="33" spans="10:17" x14ac:dyDescent="0.25">
      <c r="J33" s="84">
        <f>IF(J32=0,0,IF('FNC-ORD_prospetto riassuntivo'!$B$23+'FNC-ORD_prospetto riassuntivo'!$B$26&gt;J32,J32+1,0))</f>
        <v>31</v>
      </c>
      <c r="K33" s="85">
        <f>O32*'FNC-ORD_prospetto riassuntivo'!$B$28*Q33</f>
        <v>120.17866281967551</v>
      </c>
      <c r="L33" s="85">
        <f t="shared" si="1"/>
        <v>489.28510229566803</v>
      </c>
      <c r="M33" s="85">
        <f t="shared" si="2"/>
        <v>609.46376511534356</v>
      </c>
      <c r="N33" s="86">
        <f t="shared" si="3"/>
        <v>14435.686256393019</v>
      </c>
      <c r="O33" s="85">
        <f>('FNC-ORD_prospetto riassuntivo'!$B$11-N33)*Q33</f>
        <v>35564.313743606981</v>
      </c>
      <c r="P33" s="85">
        <f>K33/(1+SUM('FNC-ORD_prospetto riassuntivo'!$B$29:$B$30)/'FNC-ORD_prospetto riassuntivo'!$B$24)^J33</f>
        <v>105.34613279293494</v>
      </c>
      <c r="Q33">
        <f>IF(J33=0,0,IF(OR(J33&lt;'FNC-ORD_prospetto riassuntivo'!$B$23+'FNC-ORD_prospetto riassuntivo'!$B$26,J33='FNC-ORD_prospetto riassuntivo'!$B$23+'FNC-ORD_prospetto riassuntivo'!$B$26),1,0))</f>
        <v>1</v>
      </c>
    </row>
    <row r="34" spans="10:17" x14ac:dyDescent="0.25">
      <c r="J34" s="84">
        <f>IF(J33=0,0,IF('FNC-ORD_prospetto riassuntivo'!$B$23+'FNC-ORD_prospetto riassuntivo'!$B$26&gt;J33,J33+1,0))</f>
        <v>32</v>
      </c>
      <c r="K34" s="85">
        <f>O33*'FNC-ORD_prospetto riassuntivo'!$B$28*Q34</f>
        <v>118.54771247868995</v>
      </c>
      <c r="L34" s="85">
        <f t="shared" si="1"/>
        <v>490.9160526366536</v>
      </c>
      <c r="M34" s="85">
        <f t="shared" si="2"/>
        <v>609.46376511534356</v>
      </c>
      <c r="N34" s="86">
        <f t="shared" si="3"/>
        <v>14926.602309029673</v>
      </c>
      <c r="O34" s="85">
        <f>('FNC-ORD_prospetto riassuntivo'!$B$11-N34)*Q34</f>
        <v>35073.397690970327</v>
      </c>
      <c r="P34" s="85">
        <f>K34/(1+SUM('FNC-ORD_prospetto riassuntivo'!$B$29:$B$30)/'FNC-ORD_prospetto riassuntivo'!$B$24)^J34</f>
        <v>103.47584079933955</v>
      </c>
      <c r="Q34">
        <f>IF(J34=0,0,IF(OR(J34&lt;'FNC-ORD_prospetto riassuntivo'!$B$23+'FNC-ORD_prospetto riassuntivo'!$B$26,J34='FNC-ORD_prospetto riassuntivo'!$B$23+'FNC-ORD_prospetto riassuntivo'!$B$26),1,0))</f>
        <v>1</v>
      </c>
    </row>
    <row r="35" spans="10:17" x14ac:dyDescent="0.25">
      <c r="J35" s="84">
        <f>IF(J34=0,0,IF('FNC-ORD_prospetto riassuntivo'!$B$23+'FNC-ORD_prospetto riassuntivo'!$B$26&gt;J34,J34+1,0))</f>
        <v>33</v>
      </c>
      <c r="K35" s="85">
        <f>O34*'FNC-ORD_prospetto riassuntivo'!$B$28*Q35</f>
        <v>116.91132563656777</v>
      </c>
      <c r="L35" s="85">
        <f t="shared" ref="L35:L66" si="4">M35-K35</f>
        <v>492.5524394787758</v>
      </c>
      <c r="M35" s="85">
        <f t="shared" si="2"/>
        <v>609.46376511534356</v>
      </c>
      <c r="N35" s="86">
        <f t="shared" si="3"/>
        <v>15419.154748508448</v>
      </c>
      <c r="O35" s="85">
        <f>('FNC-ORD_prospetto riassuntivo'!$B$11-N35)*Q35</f>
        <v>34580.845251491555</v>
      </c>
      <c r="P35" s="85">
        <f>K35/(1+SUM('FNC-ORD_prospetto riassuntivo'!$B$29:$B$30)/'FNC-ORD_prospetto riassuntivo'!$B$24)^J35</f>
        <v>101.61479060341489</v>
      </c>
      <c r="Q35">
        <f>IF(J35=0,0,IF(OR(J35&lt;'FNC-ORD_prospetto riassuntivo'!$B$23+'FNC-ORD_prospetto riassuntivo'!$B$26,J35='FNC-ORD_prospetto riassuntivo'!$B$23+'FNC-ORD_prospetto riassuntivo'!$B$26),1,0))</f>
        <v>1</v>
      </c>
    </row>
    <row r="36" spans="10:17" x14ac:dyDescent="0.25">
      <c r="J36" s="84">
        <f>IF(J35=0,0,IF('FNC-ORD_prospetto riassuntivo'!$B$23+'FNC-ORD_prospetto riassuntivo'!$B$26&gt;J35,J35+1,0))</f>
        <v>34</v>
      </c>
      <c r="K36" s="85">
        <f>O35*'FNC-ORD_prospetto riassuntivo'!$B$28*Q36</f>
        <v>115.26948417163852</v>
      </c>
      <c r="L36" s="85">
        <f t="shared" si="4"/>
        <v>494.19428094370505</v>
      </c>
      <c r="M36" s="85">
        <f t="shared" ref="M36:M67" si="5">$M$3*Q36</f>
        <v>609.46376511534356</v>
      </c>
      <c r="N36" s="86">
        <f t="shared" ref="N36:N67" si="6">(L36+N35)*Q36</f>
        <v>15913.349029452154</v>
      </c>
      <c r="O36" s="85">
        <f>('FNC-ORD_prospetto riassuntivo'!$B$11-N36)*Q36</f>
        <v>34086.650970547846</v>
      </c>
      <c r="P36" s="85">
        <f>K36/(1+SUM('FNC-ORD_prospetto riassuntivo'!$B$29:$B$30)/'FNC-ORD_prospetto riassuntivo'!$B$24)^J36</f>
        <v>99.762941809624749</v>
      </c>
      <c r="Q36">
        <f>IF(J36=0,0,IF(OR(J36&lt;'FNC-ORD_prospetto riassuntivo'!$B$23+'FNC-ORD_prospetto riassuntivo'!$B$26,J36='FNC-ORD_prospetto riassuntivo'!$B$23+'FNC-ORD_prospetto riassuntivo'!$B$26),1,0))</f>
        <v>1</v>
      </c>
    </row>
    <row r="37" spans="10:17" x14ac:dyDescent="0.25">
      <c r="J37" s="84">
        <f>IF(J36=0,0,IF('FNC-ORD_prospetto riassuntivo'!$B$23+'FNC-ORD_prospetto riassuntivo'!$B$26&gt;J36,J36+1,0))</f>
        <v>35</v>
      </c>
      <c r="K37" s="85">
        <f>O36*'FNC-ORD_prospetto riassuntivo'!$B$28*Q37</f>
        <v>113.62216990182615</v>
      </c>
      <c r="L37" s="85">
        <f t="shared" si="4"/>
        <v>495.84159521351739</v>
      </c>
      <c r="M37" s="85">
        <f t="shared" si="5"/>
        <v>609.46376511534356</v>
      </c>
      <c r="N37" s="86">
        <f t="shared" si="6"/>
        <v>16409.190624665673</v>
      </c>
      <c r="O37" s="85">
        <f>('FNC-ORD_prospetto riassuntivo'!$B$11-N37)*Q37</f>
        <v>33590.809375334327</v>
      </c>
      <c r="P37" s="85">
        <f>K37/(1+SUM('FNC-ORD_prospetto riassuntivo'!$B$29:$B$30)/'FNC-ORD_prospetto riassuntivo'!$B$24)^J37</f>
        <v>97.920254194833646</v>
      </c>
      <c r="Q37">
        <f>IF(J37=0,0,IF(OR(J37&lt;'FNC-ORD_prospetto riassuntivo'!$B$23+'FNC-ORD_prospetto riassuntivo'!$B$26,J37='FNC-ORD_prospetto riassuntivo'!$B$23+'FNC-ORD_prospetto riassuntivo'!$B$26),1,0))</f>
        <v>1</v>
      </c>
    </row>
    <row r="38" spans="10:17" x14ac:dyDescent="0.25">
      <c r="J38" s="84">
        <f>IF(J37=0,0,IF('FNC-ORD_prospetto riassuntivo'!$B$23+'FNC-ORD_prospetto riassuntivo'!$B$26&gt;J37,J37+1,0))</f>
        <v>36</v>
      </c>
      <c r="K38" s="85">
        <f>O37*'FNC-ORD_prospetto riassuntivo'!$B$28*Q38</f>
        <v>111.96936458444776</v>
      </c>
      <c r="L38" s="85">
        <f t="shared" si="4"/>
        <v>497.4944005308958</v>
      </c>
      <c r="M38" s="85">
        <f t="shared" si="5"/>
        <v>609.46376511534356</v>
      </c>
      <c r="N38" s="86">
        <f t="shared" si="6"/>
        <v>16906.68502519657</v>
      </c>
      <c r="O38" s="85">
        <f>('FNC-ORD_prospetto riassuntivo'!$B$11-N38)*Q38</f>
        <v>33093.314974803434</v>
      </c>
      <c r="P38" s="85">
        <f>K38/(1+SUM('FNC-ORD_prospetto riassuntivo'!$B$29:$B$30)/'FNC-ORD_prospetto riassuntivo'!$B$24)^J38</f>
        <v>96.086687707574754</v>
      </c>
      <c r="Q38">
        <f>IF(J38=0,0,IF(OR(J38&lt;'FNC-ORD_prospetto riassuntivo'!$B$23+'FNC-ORD_prospetto riassuntivo'!$B$26,J38='FNC-ORD_prospetto riassuntivo'!$B$23+'FNC-ORD_prospetto riassuntivo'!$B$26),1,0))</f>
        <v>1</v>
      </c>
    </row>
    <row r="39" spans="10:17" x14ac:dyDescent="0.25">
      <c r="J39" s="84">
        <f>IF(J38=0,0,IF('FNC-ORD_prospetto riassuntivo'!$B$23+'FNC-ORD_prospetto riassuntivo'!$B$26&gt;J38,J38+1,0))</f>
        <v>37</v>
      </c>
      <c r="K39" s="85">
        <f>O38*'FNC-ORD_prospetto riassuntivo'!$B$28*Q39</f>
        <v>110.31104991601146</v>
      </c>
      <c r="L39" s="85">
        <f t="shared" si="4"/>
        <v>499.15271519933208</v>
      </c>
      <c r="M39" s="85">
        <f t="shared" si="5"/>
        <v>609.46376511534356</v>
      </c>
      <c r="N39" s="86">
        <f t="shared" si="6"/>
        <v>17405.837740395902</v>
      </c>
      <c r="O39" s="85">
        <f>('FNC-ORD_prospetto riassuntivo'!$B$11-N39)*Q39</f>
        <v>32594.162259604098</v>
      </c>
      <c r="P39" s="85">
        <f>K39/(1+SUM('FNC-ORD_prospetto riassuntivo'!$B$29:$B$30)/'FNC-ORD_prospetto riassuntivo'!$B$24)^J39</f>
        <v>94.262202467320975</v>
      </c>
      <c r="Q39">
        <f>IF(J39=0,0,IF(OR(J39&lt;'FNC-ORD_prospetto riassuntivo'!$B$23+'FNC-ORD_prospetto riassuntivo'!$B$26,J39='FNC-ORD_prospetto riassuntivo'!$B$23+'FNC-ORD_prospetto riassuntivo'!$B$26),1,0))</f>
        <v>1</v>
      </c>
    </row>
    <row r="40" spans="10:17" x14ac:dyDescent="0.25">
      <c r="J40" s="84">
        <f>IF(J39=0,0,IF('FNC-ORD_prospetto riassuntivo'!$B$23+'FNC-ORD_prospetto riassuntivo'!$B$26&gt;J39,J39+1,0))</f>
        <v>38</v>
      </c>
      <c r="K40" s="85">
        <f>O39*'FNC-ORD_prospetto riassuntivo'!$B$28*Q40</f>
        <v>108.64720753201367</v>
      </c>
      <c r="L40" s="85">
        <f t="shared" si="4"/>
        <v>500.81655758332988</v>
      </c>
      <c r="M40" s="85">
        <f t="shared" si="5"/>
        <v>609.46376511534356</v>
      </c>
      <c r="N40" s="86">
        <f t="shared" si="6"/>
        <v>17906.654297979232</v>
      </c>
      <c r="O40" s="85">
        <f>('FNC-ORD_prospetto riassuntivo'!$B$11-N40)*Q40</f>
        <v>32093.345702020768</v>
      </c>
      <c r="P40" s="85">
        <f>K40/(1+SUM('FNC-ORD_prospetto riassuntivo'!$B$29:$B$30)/'FNC-ORD_prospetto riassuntivo'!$B$24)^J40</f>
        <v>92.446758763758965</v>
      </c>
      <c r="Q40">
        <f>IF(J40=0,0,IF(OR(J40&lt;'FNC-ORD_prospetto riassuntivo'!$B$23+'FNC-ORD_prospetto riassuntivo'!$B$26,J40='FNC-ORD_prospetto riassuntivo'!$B$23+'FNC-ORD_prospetto riassuntivo'!$B$26),1,0))</f>
        <v>1</v>
      </c>
    </row>
    <row r="41" spans="10:17" x14ac:dyDescent="0.25">
      <c r="J41" s="84">
        <f>IF(J40=0,0,IF('FNC-ORD_prospetto riassuntivo'!$B$23+'FNC-ORD_prospetto riassuntivo'!$B$26&gt;J40,J40+1,0))</f>
        <v>39</v>
      </c>
      <c r="K41" s="85">
        <f>O40*'FNC-ORD_prospetto riassuntivo'!$B$28*Q41</f>
        <v>106.9778190067359</v>
      </c>
      <c r="L41" s="85">
        <f t="shared" si="4"/>
        <v>502.48594610860766</v>
      </c>
      <c r="M41" s="85">
        <f t="shared" si="5"/>
        <v>609.46376511534356</v>
      </c>
      <c r="N41" s="86">
        <f t="shared" si="6"/>
        <v>18409.140244087841</v>
      </c>
      <c r="O41" s="85">
        <f>('FNC-ORD_prospetto riassuntivo'!$B$11-N41)*Q41</f>
        <v>31590.859755912159</v>
      </c>
      <c r="P41" s="85">
        <f>K41/(1+SUM('FNC-ORD_prospetto riassuntivo'!$B$29:$B$30)/'FNC-ORD_prospetto riassuntivo'!$B$24)^J41</f>
        <v>90.640317056066536</v>
      </c>
      <c r="Q41">
        <f>IF(J41=0,0,IF(OR(J41&lt;'FNC-ORD_prospetto riassuntivo'!$B$23+'FNC-ORD_prospetto riassuntivo'!$B$26,J41='FNC-ORD_prospetto riassuntivo'!$B$23+'FNC-ORD_prospetto riassuntivo'!$B$26),1,0))</f>
        <v>1</v>
      </c>
    </row>
    <row r="42" spans="10:17" x14ac:dyDescent="0.25">
      <c r="J42" s="84">
        <f>IF(J41=0,0,IF('FNC-ORD_prospetto riassuntivo'!$B$23+'FNC-ORD_prospetto riassuntivo'!$B$26&gt;J41,J41+1,0))</f>
        <v>40</v>
      </c>
      <c r="K42" s="85">
        <f>O41*'FNC-ORD_prospetto riassuntivo'!$B$28*Q42</f>
        <v>105.30286585304054</v>
      </c>
      <c r="L42" s="85">
        <f t="shared" si="4"/>
        <v>504.16089926230302</v>
      </c>
      <c r="M42" s="85">
        <f t="shared" si="5"/>
        <v>609.46376511534356</v>
      </c>
      <c r="N42" s="86">
        <f t="shared" si="6"/>
        <v>18913.301143350145</v>
      </c>
      <c r="O42" s="85">
        <f>('FNC-ORD_prospetto riassuntivo'!$B$11-N42)*Q42</f>
        <v>31086.698856649855</v>
      </c>
      <c r="P42" s="85">
        <f>K42/(1+SUM('FNC-ORD_prospetto riassuntivo'!$B$29:$B$30)/'FNC-ORD_prospetto riassuntivo'!$B$24)^J42</f>
        <v>88.842837972192797</v>
      </c>
      <c r="Q42">
        <f>IF(J42=0,0,IF(OR(J42&lt;'FNC-ORD_prospetto riassuntivo'!$B$23+'FNC-ORD_prospetto riassuntivo'!$B$26,J42='FNC-ORD_prospetto riassuntivo'!$B$23+'FNC-ORD_prospetto riassuntivo'!$B$26),1,0))</f>
        <v>1</v>
      </c>
    </row>
    <row r="43" spans="10:17" x14ac:dyDescent="0.25">
      <c r="J43" s="84">
        <f>IF(J42=0,0,IF('FNC-ORD_prospetto riassuntivo'!$B$23+'FNC-ORD_prospetto riassuntivo'!$B$26&gt;J42,J42+1,0))</f>
        <v>41</v>
      </c>
      <c r="K43" s="85">
        <f>O42*'FNC-ORD_prospetto riassuntivo'!$B$28*Q43</f>
        <v>103.62232952216618</v>
      </c>
      <c r="L43" s="85">
        <f t="shared" si="4"/>
        <v>505.84143559317738</v>
      </c>
      <c r="M43" s="85">
        <f t="shared" si="5"/>
        <v>609.46376511534356</v>
      </c>
      <c r="N43" s="86">
        <f t="shared" si="6"/>
        <v>19419.142578943323</v>
      </c>
      <c r="O43" s="85">
        <f>('FNC-ORD_prospetto riassuntivo'!$B$11-N43)*Q43</f>
        <v>30580.857421056677</v>
      </c>
      <c r="P43" s="85">
        <f>K43/(1+SUM('FNC-ORD_prospetto riassuntivo'!$B$29:$B$30)/'FNC-ORD_prospetto riassuntivo'!$B$24)^J43</f>
        <v>87.054282308141566</v>
      </c>
      <c r="Q43">
        <f>IF(J43=0,0,IF(OR(J43&lt;'FNC-ORD_prospetto riassuntivo'!$B$23+'FNC-ORD_prospetto riassuntivo'!$B$26,J43='FNC-ORD_prospetto riassuntivo'!$B$23+'FNC-ORD_prospetto riassuntivo'!$B$26),1,0))</f>
        <v>1</v>
      </c>
    </row>
    <row r="44" spans="10:17" x14ac:dyDescent="0.25">
      <c r="J44" s="84">
        <f>IF(J43=0,0,IF('FNC-ORD_prospetto riassuntivo'!$B$23+'FNC-ORD_prospetto riassuntivo'!$B$26&gt;J43,J43+1,0))</f>
        <v>42</v>
      </c>
      <c r="K44" s="85">
        <f>O43*'FNC-ORD_prospetto riassuntivo'!$B$28*Q44</f>
        <v>101.93619140352226</v>
      </c>
      <c r="L44" s="85">
        <f t="shared" si="4"/>
        <v>507.52757371182133</v>
      </c>
      <c r="M44" s="85">
        <f t="shared" si="5"/>
        <v>609.46376511534356</v>
      </c>
      <c r="N44" s="86">
        <f t="shared" si="6"/>
        <v>19926.670152655144</v>
      </c>
      <c r="O44" s="85">
        <f>('FNC-ORD_prospetto riassuntivo'!$B$11-N44)*Q44</f>
        <v>30073.329847344856</v>
      </c>
      <c r="P44" s="85">
        <f>K44/(1+SUM('FNC-ORD_prospetto riassuntivo'!$B$29:$B$30)/'FNC-ORD_prospetto riassuntivo'!$B$24)^J44</f>
        <v>85.274611027257762</v>
      </c>
      <c r="Q44">
        <f>IF(J44=0,0,IF(OR(J44&lt;'FNC-ORD_prospetto riassuntivo'!$B$23+'FNC-ORD_prospetto riassuntivo'!$B$26,J44='FNC-ORD_prospetto riassuntivo'!$B$23+'FNC-ORD_prospetto riassuntivo'!$B$26),1,0))</f>
        <v>1</v>
      </c>
    </row>
    <row r="45" spans="10:17" x14ac:dyDescent="0.25">
      <c r="J45" s="84">
        <f>IF(J44=0,0,IF('FNC-ORD_prospetto riassuntivo'!$B$23+'FNC-ORD_prospetto riassuntivo'!$B$26&gt;J44,J44+1,0))</f>
        <v>43</v>
      </c>
      <c r="K45" s="85">
        <f>O44*'FNC-ORD_prospetto riassuntivo'!$B$28*Q45</f>
        <v>100.24443282448286</v>
      </c>
      <c r="L45" s="85">
        <f t="shared" si="4"/>
        <v>509.21933229086073</v>
      </c>
      <c r="M45" s="85">
        <f t="shared" si="5"/>
        <v>609.46376511534356</v>
      </c>
      <c r="N45" s="86">
        <f t="shared" si="6"/>
        <v>20435.889484946005</v>
      </c>
      <c r="O45" s="85">
        <f>('FNC-ORD_prospetto riassuntivo'!$B$11-N45)*Q45</f>
        <v>29564.110515053995</v>
      </c>
      <c r="P45" s="85">
        <f>K45/(1+SUM('FNC-ORD_prospetto riassuntivo'!$B$29:$B$30)/'FNC-ORD_prospetto riassuntivo'!$B$24)^J45</f>
        <v>83.503785259516775</v>
      </c>
      <c r="Q45">
        <f>IF(J45=0,0,IF(OR(J45&lt;'FNC-ORD_prospetto riassuntivo'!$B$23+'FNC-ORD_prospetto riassuntivo'!$B$26,J45='FNC-ORD_prospetto riassuntivo'!$B$23+'FNC-ORD_prospetto riassuntivo'!$B$26),1,0))</f>
        <v>1</v>
      </c>
    </row>
    <row r="46" spans="10:17" x14ac:dyDescent="0.25">
      <c r="J46" s="84">
        <f>IF(J45=0,0,IF('FNC-ORD_prospetto riassuntivo'!$B$23+'FNC-ORD_prospetto riassuntivo'!$B$26&gt;J45,J45+1,0))</f>
        <v>44</v>
      </c>
      <c r="K46" s="85">
        <f>O45*'FNC-ORD_prospetto riassuntivo'!$B$28*Q46</f>
        <v>98.547035050179986</v>
      </c>
      <c r="L46" s="85">
        <f t="shared" si="4"/>
        <v>510.91673006516356</v>
      </c>
      <c r="M46" s="85">
        <f t="shared" si="5"/>
        <v>609.46376511534356</v>
      </c>
      <c r="N46" s="86">
        <f t="shared" si="6"/>
        <v>20946.806215011169</v>
      </c>
      <c r="O46" s="85">
        <f>('FNC-ORD_prospetto riassuntivo'!$B$11-N46)*Q46</f>
        <v>29053.193784988831</v>
      </c>
      <c r="P46" s="85">
        <f>K46/(1+SUM('FNC-ORD_prospetto riassuntivo'!$B$29:$B$30)/'FNC-ORD_prospetto riassuntivo'!$B$24)^J46</f>
        <v>81.741766300816906</v>
      </c>
      <c r="Q46">
        <f>IF(J46=0,0,IF(OR(J46&lt;'FNC-ORD_prospetto riassuntivo'!$B$23+'FNC-ORD_prospetto riassuntivo'!$B$26,J46='FNC-ORD_prospetto riassuntivo'!$B$23+'FNC-ORD_prospetto riassuntivo'!$B$26),1,0))</f>
        <v>1</v>
      </c>
    </row>
    <row r="47" spans="10:17" x14ac:dyDescent="0.25">
      <c r="J47" s="84">
        <f>IF(J46=0,0,IF('FNC-ORD_prospetto riassuntivo'!$B$23+'FNC-ORD_prospetto riassuntivo'!$B$26&gt;J46,J46+1,0))</f>
        <v>45</v>
      </c>
      <c r="K47" s="85">
        <f>O46*'FNC-ORD_prospetto riassuntivo'!$B$28*Q47</f>
        <v>96.843979283296107</v>
      </c>
      <c r="L47" s="85">
        <f t="shared" si="4"/>
        <v>512.61978583204746</v>
      </c>
      <c r="M47" s="85">
        <f t="shared" si="5"/>
        <v>609.46376511534356</v>
      </c>
      <c r="N47" s="86">
        <f t="shared" si="6"/>
        <v>21459.426000843217</v>
      </c>
      <c r="O47" s="85">
        <f>('FNC-ORD_prospetto riassuntivo'!$B$11-N47)*Q47</f>
        <v>28540.573999156783</v>
      </c>
      <c r="P47" s="85">
        <f>K47/(1+SUM('FNC-ORD_prospetto riassuntivo'!$B$29:$B$30)/'FNC-ORD_prospetto riassuntivo'!$B$24)^J47</f>
        <v>79.98851561227481</v>
      </c>
      <c r="Q47">
        <f>IF(J47=0,0,IF(OR(J47&lt;'FNC-ORD_prospetto riassuntivo'!$B$23+'FNC-ORD_prospetto riassuntivo'!$B$26,J47='FNC-ORD_prospetto riassuntivo'!$B$23+'FNC-ORD_prospetto riassuntivo'!$B$26),1,0))</f>
        <v>1</v>
      </c>
    </row>
    <row r="48" spans="10:17" x14ac:dyDescent="0.25">
      <c r="J48" s="84">
        <f>IF(J47=0,0,IF('FNC-ORD_prospetto riassuntivo'!$B$23+'FNC-ORD_prospetto riassuntivo'!$B$26&gt;J47,J47+1,0))</f>
        <v>46</v>
      </c>
      <c r="K48" s="85">
        <f>O47*'FNC-ORD_prospetto riassuntivo'!$B$28*Q48</f>
        <v>95.135246663855952</v>
      </c>
      <c r="L48" s="85">
        <f t="shared" si="4"/>
        <v>514.32851845148764</v>
      </c>
      <c r="M48" s="85">
        <f t="shared" si="5"/>
        <v>609.46376511534356</v>
      </c>
      <c r="N48" s="86">
        <f t="shared" si="6"/>
        <v>21973.754519294704</v>
      </c>
      <c r="O48" s="85">
        <f>('FNC-ORD_prospetto riassuntivo'!$B$11-N48)*Q48</f>
        <v>28026.245480705296</v>
      </c>
      <c r="P48" s="85">
        <f>K48/(1+SUM('FNC-ORD_prospetto riassuntivo'!$B$29:$B$30)/'FNC-ORD_prospetto riassuntivo'!$B$24)^J48</f>
        <v>78.243994819523905</v>
      </c>
      <c r="Q48">
        <f>IF(J48=0,0,IF(OR(J48&lt;'FNC-ORD_prospetto riassuntivo'!$B$23+'FNC-ORD_prospetto riassuntivo'!$B$26,J48='FNC-ORD_prospetto riassuntivo'!$B$23+'FNC-ORD_prospetto riassuntivo'!$B$26),1,0))</f>
        <v>1</v>
      </c>
    </row>
    <row r="49" spans="10:17" x14ac:dyDescent="0.25">
      <c r="J49" s="84">
        <f>IF(J48=0,0,IF('FNC-ORD_prospetto riassuntivo'!$B$23+'FNC-ORD_prospetto riassuntivo'!$B$26&gt;J48,J48+1,0))</f>
        <v>47</v>
      </c>
      <c r="K49" s="85">
        <f>O48*'FNC-ORD_prospetto riassuntivo'!$B$28*Q49</f>
        <v>93.420818269017659</v>
      </c>
      <c r="L49" s="85">
        <f t="shared" si="4"/>
        <v>516.04294684632589</v>
      </c>
      <c r="M49" s="85">
        <f t="shared" si="5"/>
        <v>609.46376511534356</v>
      </c>
      <c r="N49" s="86">
        <f t="shared" si="6"/>
        <v>22489.79746614103</v>
      </c>
      <c r="O49" s="85">
        <f>('FNC-ORD_prospetto riassuntivo'!$B$11-N49)*Q49</f>
        <v>27510.20253385897</v>
      </c>
      <c r="P49" s="85">
        <f>K49/(1+SUM('FNC-ORD_prospetto riassuntivo'!$B$29:$B$30)/'FNC-ORD_prospetto riassuntivo'!$B$24)^J49</f>
        <v>76.508165712015682</v>
      </c>
      <c r="Q49">
        <f>IF(J49=0,0,IF(OR(J49&lt;'FNC-ORD_prospetto riassuntivo'!$B$23+'FNC-ORD_prospetto riassuntivo'!$B$26,J49='FNC-ORD_prospetto riassuntivo'!$B$23+'FNC-ORD_prospetto riassuntivo'!$B$26),1,0))</f>
        <v>1</v>
      </c>
    </row>
    <row r="50" spans="10:17" x14ac:dyDescent="0.25">
      <c r="J50" s="84">
        <f>IF(J49=0,0,IF('FNC-ORD_prospetto riassuntivo'!$B$23+'FNC-ORD_prospetto riassuntivo'!$B$26&gt;J49,J49+1,0))</f>
        <v>48</v>
      </c>
      <c r="K50" s="85">
        <f>O49*'FNC-ORD_prospetto riassuntivo'!$B$28*Q50</f>
        <v>91.700675112863237</v>
      </c>
      <c r="L50" s="85">
        <f t="shared" si="4"/>
        <v>517.76309000248034</v>
      </c>
      <c r="M50" s="85">
        <f t="shared" si="5"/>
        <v>609.46376511534356</v>
      </c>
      <c r="N50" s="86">
        <f t="shared" si="6"/>
        <v>23007.560556143511</v>
      </c>
      <c r="O50" s="85">
        <f>('FNC-ORD_prospetto riassuntivo'!$B$11-N50)*Q50</f>
        <v>26992.439443856489</v>
      </c>
      <c r="P50" s="85">
        <f>K50/(1+SUM('FNC-ORD_prospetto riassuntivo'!$B$29:$B$30)/'FNC-ORD_prospetto riassuntivo'!$B$24)^J50</f>
        <v>74.780990242324194</v>
      </c>
      <c r="Q50">
        <f>IF(J50=0,0,IF(OR(J50&lt;'FNC-ORD_prospetto riassuntivo'!$B$23+'FNC-ORD_prospetto riassuntivo'!$B$26,J50='FNC-ORD_prospetto riassuntivo'!$B$23+'FNC-ORD_prospetto riassuntivo'!$B$26),1,0))</f>
        <v>1</v>
      </c>
    </row>
    <row r="51" spans="10:17" x14ac:dyDescent="0.25">
      <c r="J51" s="84">
        <f>IF(J50=0,0,IF('FNC-ORD_prospetto riassuntivo'!$B$23+'FNC-ORD_prospetto riassuntivo'!$B$26&gt;J50,J50+1,0))</f>
        <v>49</v>
      </c>
      <c r="K51" s="85">
        <f>O50*'FNC-ORD_prospetto riassuntivo'!$B$28*Q51</f>
        <v>89.974798146188306</v>
      </c>
      <c r="L51" s="85">
        <f t="shared" si="4"/>
        <v>519.48896696915529</v>
      </c>
      <c r="M51" s="85">
        <f t="shared" si="5"/>
        <v>609.46376511534356</v>
      </c>
      <c r="N51" s="86">
        <f t="shared" si="6"/>
        <v>23527.049523112666</v>
      </c>
      <c r="O51" s="85">
        <f>('FNC-ORD_prospetto riassuntivo'!$B$11-N51)*Q51</f>
        <v>26472.950476887334</v>
      </c>
      <c r="P51" s="85">
        <f>K51/(1+SUM('FNC-ORD_prospetto riassuntivo'!$B$29:$B$30)/'FNC-ORD_prospetto riassuntivo'!$B$24)^J51</f>
        <v>73.062430525453294</v>
      </c>
      <c r="Q51">
        <f>IF(J51=0,0,IF(OR(J51&lt;'FNC-ORD_prospetto riassuntivo'!$B$23+'FNC-ORD_prospetto riassuntivo'!$B$26,J51='FNC-ORD_prospetto riassuntivo'!$B$23+'FNC-ORD_prospetto riassuntivo'!$B$26),1,0))</f>
        <v>1</v>
      </c>
    </row>
    <row r="52" spans="10:17" x14ac:dyDescent="0.25">
      <c r="J52" s="84">
        <f>IF(J51=0,0,IF('FNC-ORD_prospetto riassuntivo'!$B$23+'FNC-ORD_prospetto riassuntivo'!$B$26&gt;J51,J51+1,0))</f>
        <v>50</v>
      </c>
      <c r="K52" s="85">
        <f>O51*'FNC-ORD_prospetto riassuntivo'!$B$28*Q52</f>
        <v>88.243168256291113</v>
      </c>
      <c r="L52" s="85">
        <f t="shared" si="4"/>
        <v>521.22059685905242</v>
      </c>
      <c r="M52" s="85">
        <f t="shared" si="5"/>
        <v>609.46376511534356</v>
      </c>
      <c r="N52" s="86">
        <f t="shared" si="6"/>
        <v>24048.270119971719</v>
      </c>
      <c r="O52" s="85">
        <f>('FNC-ORD_prospetto riassuntivo'!$B$11-N52)*Q52</f>
        <v>25951.729880028281</v>
      </c>
      <c r="P52" s="85">
        <f>K52/(1+SUM('FNC-ORD_prospetto riassuntivo'!$B$29:$B$30)/'FNC-ORD_prospetto riassuntivo'!$B$24)^J52</f>
        <v>71.352448838146799</v>
      </c>
      <c r="Q52">
        <f>IF(J52=0,0,IF(OR(J52&lt;'FNC-ORD_prospetto riassuntivo'!$B$23+'FNC-ORD_prospetto riassuntivo'!$B$26,J52='FNC-ORD_prospetto riassuntivo'!$B$23+'FNC-ORD_prospetto riassuntivo'!$B$26),1,0))</f>
        <v>1</v>
      </c>
    </row>
    <row r="53" spans="10:17" x14ac:dyDescent="0.25">
      <c r="J53" s="84">
        <f>IF(J52=0,0,IF('FNC-ORD_prospetto riassuntivo'!$B$23+'FNC-ORD_prospetto riassuntivo'!$B$26&gt;J52,J52+1,0))</f>
        <v>51</v>
      </c>
      <c r="K53" s="85">
        <f>O52*'FNC-ORD_prospetto riassuntivo'!$B$28*Q53</f>
        <v>86.505766266760943</v>
      </c>
      <c r="L53" s="85">
        <f t="shared" si="4"/>
        <v>522.95799884858263</v>
      </c>
      <c r="M53" s="85">
        <f t="shared" si="5"/>
        <v>609.46376511534356</v>
      </c>
      <c r="N53" s="86">
        <f t="shared" si="6"/>
        <v>24571.228118820301</v>
      </c>
      <c r="O53" s="85">
        <f>('FNC-ORD_prospetto riassuntivo'!$B$11-N53)*Q53</f>
        <v>25428.771881179699</v>
      </c>
      <c r="P53" s="85">
        <f>K53/(1+SUM('FNC-ORD_prospetto riassuntivo'!$B$29:$B$30)/'FNC-ORD_prospetto riassuntivo'!$B$24)^J53</f>
        <v>69.651007618201831</v>
      </c>
      <c r="Q53">
        <f>IF(J53=0,0,IF(OR(J53&lt;'FNC-ORD_prospetto riassuntivo'!$B$23+'FNC-ORD_prospetto riassuntivo'!$B$26,J53='FNC-ORD_prospetto riassuntivo'!$B$23+'FNC-ORD_prospetto riassuntivo'!$B$26),1,0))</f>
        <v>1</v>
      </c>
    </row>
    <row r="54" spans="10:17" x14ac:dyDescent="0.25">
      <c r="J54" s="84">
        <f>IF(J53=0,0,IF('FNC-ORD_prospetto riassuntivo'!$B$23+'FNC-ORD_prospetto riassuntivo'!$B$26&gt;J53,J53+1,0))</f>
        <v>52</v>
      </c>
      <c r="K54" s="85">
        <f>O53*'FNC-ORD_prospetto riassuntivo'!$B$28*Q54</f>
        <v>84.762572937265674</v>
      </c>
      <c r="L54" s="85">
        <f t="shared" si="4"/>
        <v>524.70119217807792</v>
      </c>
      <c r="M54" s="85">
        <f t="shared" si="5"/>
        <v>609.46376511534356</v>
      </c>
      <c r="N54" s="86">
        <f t="shared" si="6"/>
        <v>25095.929310998381</v>
      </c>
      <c r="O54" s="85">
        <f>('FNC-ORD_prospetto riassuntivo'!$B$11-N54)*Q54</f>
        <v>24904.070689001619</v>
      </c>
      <c r="P54" s="85">
        <f>K54/(1+SUM('FNC-ORD_prospetto riassuntivo'!$B$29:$B$30)/'FNC-ORD_prospetto riassuntivo'!$B$24)^J54</f>
        <v>67.95806946378471</v>
      </c>
      <c r="Q54">
        <f>IF(J54=0,0,IF(OR(J54&lt;'FNC-ORD_prospetto riassuntivo'!$B$23+'FNC-ORD_prospetto riassuntivo'!$B$26,J54='FNC-ORD_prospetto riassuntivo'!$B$23+'FNC-ORD_prospetto riassuntivo'!$B$26),1,0))</f>
        <v>1</v>
      </c>
    </row>
    <row r="55" spans="10:17" x14ac:dyDescent="0.25">
      <c r="J55" s="84">
        <f>IF(J54=0,0,IF('FNC-ORD_prospetto riassuntivo'!$B$23+'FNC-ORD_prospetto riassuntivo'!$B$26&gt;J54,J54+1,0))</f>
        <v>53</v>
      </c>
      <c r="K55" s="85">
        <f>O54*'FNC-ORD_prospetto riassuntivo'!$B$28*Q55</f>
        <v>83.013568963338741</v>
      </c>
      <c r="L55" s="85">
        <f t="shared" si="4"/>
        <v>526.45019615200476</v>
      </c>
      <c r="M55" s="85">
        <f t="shared" si="5"/>
        <v>609.46376511534356</v>
      </c>
      <c r="N55" s="86">
        <f t="shared" si="6"/>
        <v>25622.379507150385</v>
      </c>
      <c r="O55" s="85">
        <f>('FNC-ORD_prospetto riassuntivo'!$B$11-N55)*Q55</f>
        <v>24377.620492849615</v>
      </c>
      <c r="P55" s="85">
        <f>K55/(1+SUM('FNC-ORD_prospetto riassuntivo'!$B$29:$B$30)/'FNC-ORD_prospetto riassuntivo'!$B$24)^J55</f>
        <v>66.273597132750027</v>
      </c>
      <c r="Q55">
        <f>IF(J55=0,0,IF(OR(J55&lt;'FNC-ORD_prospetto riassuntivo'!$B$23+'FNC-ORD_prospetto riassuntivo'!$B$26,J55='FNC-ORD_prospetto riassuntivo'!$B$23+'FNC-ORD_prospetto riassuntivo'!$B$26),1,0))</f>
        <v>1</v>
      </c>
    </row>
    <row r="56" spans="10:17" x14ac:dyDescent="0.25">
      <c r="J56" s="84">
        <f>IF(J55=0,0,IF('FNC-ORD_prospetto riassuntivo'!$B$23+'FNC-ORD_prospetto riassuntivo'!$B$26&gt;J55,J55+1,0))</f>
        <v>54</v>
      </c>
      <c r="K56" s="85">
        <f>O55*'FNC-ORD_prospetto riassuntivo'!$B$28*Q56</f>
        <v>81.258734976165385</v>
      </c>
      <c r="L56" s="85">
        <f t="shared" si="4"/>
        <v>528.20503013917823</v>
      </c>
      <c r="M56" s="85">
        <f t="shared" si="5"/>
        <v>609.46376511534356</v>
      </c>
      <c r="N56" s="86">
        <f t="shared" si="6"/>
        <v>26150.584537289564</v>
      </c>
      <c r="O56" s="85">
        <f>('FNC-ORD_prospetto riassuntivo'!$B$11-N56)*Q56</f>
        <v>23849.415462710436</v>
      </c>
      <c r="P56" s="85">
        <f>K56/(1+SUM('FNC-ORD_prospetto riassuntivo'!$B$29:$B$30)/'FNC-ORD_prospetto riassuntivo'!$B$24)^J56</f>
        <v>64.597553541962583</v>
      </c>
      <c r="Q56">
        <f>IF(J56=0,0,IF(OR(J56&lt;'FNC-ORD_prospetto riassuntivo'!$B$23+'FNC-ORD_prospetto riassuntivo'!$B$26,J56='FNC-ORD_prospetto riassuntivo'!$B$23+'FNC-ORD_prospetto riassuntivo'!$B$26),1,0))</f>
        <v>1</v>
      </c>
    </row>
    <row r="57" spans="10:17" x14ac:dyDescent="0.25">
      <c r="J57" s="84">
        <f>IF(J56=0,0,IF('FNC-ORD_prospetto riassuntivo'!$B$23+'FNC-ORD_prospetto riassuntivo'!$B$26&gt;J56,J56+1,0))</f>
        <v>55</v>
      </c>
      <c r="K57" s="85">
        <f>O56*'FNC-ORD_prospetto riassuntivo'!$B$28*Q57</f>
        <v>79.498051542368131</v>
      </c>
      <c r="L57" s="85">
        <f t="shared" si="4"/>
        <v>529.96571357297546</v>
      </c>
      <c r="M57" s="85">
        <f t="shared" si="5"/>
        <v>609.46376511534356</v>
      </c>
      <c r="N57" s="86">
        <f t="shared" si="6"/>
        <v>26680.55025086254</v>
      </c>
      <c r="O57" s="85">
        <f>('FNC-ORD_prospetto riassuntivo'!$B$11-N57)*Q57</f>
        <v>23319.44974913746</v>
      </c>
      <c r="P57" s="85">
        <f>K57/(1+SUM('FNC-ORD_prospetto riassuntivo'!$B$29:$B$30)/'FNC-ORD_prospetto riassuntivo'!$B$24)^J57</f>
        <v>62.929901766622017</v>
      </c>
      <c r="Q57">
        <f>IF(J57=0,0,IF(OR(J57&lt;'FNC-ORD_prospetto riassuntivo'!$B$23+'FNC-ORD_prospetto riassuntivo'!$B$26,J57='FNC-ORD_prospetto riassuntivo'!$B$23+'FNC-ORD_prospetto riassuntivo'!$B$26),1,0))</f>
        <v>1</v>
      </c>
    </row>
    <row r="58" spans="10:17" x14ac:dyDescent="0.25">
      <c r="J58" s="84">
        <f>IF(J57=0,0,IF('FNC-ORD_prospetto riassuntivo'!$B$23+'FNC-ORD_prospetto riassuntivo'!$B$26&gt;J57,J57+1,0))</f>
        <v>56</v>
      </c>
      <c r="K58" s="85">
        <f>O57*'FNC-ORD_prospetto riassuntivo'!$B$28*Q58</f>
        <v>77.73149916379154</v>
      </c>
      <c r="L58" s="85">
        <f t="shared" si="4"/>
        <v>531.73226595155199</v>
      </c>
      <c r="M58" s="85">
        <f t="shared" si="5"/>
        <v>609.46376511534356</v>
      </c>
      <c r="N58" s="86">
        <f t="shared" si="6"/>
        <v>27212.282516814092</v>
      </c>
      <c r="O58" s="85">
        <f>('FNC-ORD_prospetto riassuntivo'!$B$11-N58)*Q58</f>
        <v>22787.717483185908</v>
      </c>
      <c r="P58" s="85">
        <f>K58/(1+SUM('FNC-ORD_prospetto riassuntivo'!$B$29:$B$30)/'FNC-ORD_prospetto riassuntivo'!$B$24)^J58</f>
        <v>61.270605039590414</v>
      </c>
      <c r="Q58">
        <f>IF(J58=0,0,IF(OR(J58&lt;'FNC-ORD_prospetto riassuntivo'!$B$23+'FNC-ORD_prospetto riassuntivo'!$B$26,J58='FNC-ORD_prospetto riassuntivo'!$B$23+'FNC-ORD_prospetto riassuntivo'!$B$26),1,0))</f>
        <v>1</v>
      </c>
    </row>
    <row r="59" spans="10:17" x14ac:dyDescent="0.25">
      <c r="J59" s="84">
        <f>IF(J58=0,0,IF('FNC-ORD_prospetto riassuntivo'!$B$23+'FNC-ORD_prospetto riassuntivo'!$B$26&gt;J58,J58+1,0))</f>
        <v>57</v>
      </c>
      <c r="K59" s="85">
        <f>O58*'FNC-ORD_prospetto riassuntivo'!$B$28*Q59</f>
        <v>75.95905827728636</v>
      </c>
      <c r="L59" s="85">
        <f t="shared" si="4"/>
        <v>533.50470683805725</v>
      </c>
      <c r="M59" s="85">
        <f t="shared" si="5"/>
        <v>609.46376511534356</v>
      </c>
      <c r="N59" s="86">
        <f t="shared" si="6"/>
        <v>27745.787223652151</v>
      </c>
      <c r="O59" s="85">
        <f>('FNC-ORD_prospetto riassuntivo'!$B$11-N59)*Q59</f>
        <v>22254.212776347849</v>
      </c>
      <c r="P59" s="85">
        <f>K59/(1+SUM('FNC-ORD_prospetto riassuntivo'!$B$29:$B$30)/'FNC-ORD_prospetto riassuntivo'!$B$24)^J59</f>
        <v>59.619626750722887</v>
      </c>
      <c r="Q59">
        <f>IF(J59=0,0,IF(OR(J59&lt;'FNC-ORD_prospetto riassuntivo'!$B$23+'FNC-ORD_prospetto riassuntivo'!$B$26,J59='FNC-ORD_prospetto riassuntivo'!$B$23+'FNC-ORD_prospetto riassuntivo'!$B$26),1,0))</f>
        <v>1</v>
      </c>
    </row>
    <row r="60" spans="10:17" x14ac:dyDescent="0.25">
      <c r="J60" s="84">
        <f>IF(J59=0,0,IF('FNC-ORD_prospetto riassuntivo'!$B$23+'FNC-ORD_prospetto riassuntivo'!$B$26&gt;J59,J59+1,0))</f>
        <v>58</v>
      </c>
      <c r="K60" s="85">
        <f>O59*'FNC-ORD_prospetto riassuntivo'!$B$28*Q60</f>
        <v>74.180709254492839</v>
      </c>
      <c r="L60" s="85">
        <f t="shared" si="4"/>
        <v>535.28305586085071</v>
      </c>
      <c r="M60" s="85">
        <f t="shared" si="5"/>
        <v>609.46376511534356</v>
      </c>
      <c r="N60" s="86">
        <f t="shared" si="6"/>
        <v>28281.070279513002</v>
      </c>
      <c r="O60" s="85">
        <f>('FNC-ORD_prospetto riassuntivo'!$B$11-N60)*Q60</f>
        <v>21718.929720486998</v>
      </c>
      <c r="P60" s="85">
        <f>K60/(1+SUM('FNC-ORD_prospetto riassuntivo'!$B$29:$B$30)/'FNC-ORD_prospetto riassuntivo'!$B$24)^J60</f>
        <v>57.976930446200747</v>
      </c>
      <c r="Q60">
        <f>IF(J60=0,0,IF(OR(J60&lt;'FNC-ORD_prospetto riassuntivo'!$B$23+'FNC-ORD_prospetto riassuntivo'!$B$26,J60='FNC-ORD_prospetto riassuntivo'!$B$23+'FNC-ORD_prospetto riassuntivo'!$B$26),1,0))</f>
        <v>1</v>
      </c>
    </row>
    <row r="61" spans="10:17" x14ac:dyDescent="0.25">
      <c r="J61" s="84">
        <f>IF(J60=0,0,IF('FNC-ORD_prospetto riassuntivo'!$B$23+'FNC-ORD_prospetto riassuntivo'!$B$26&gt;J60,J60+1,0))</f>
        <v>59</v>
      </c>
      <c r="K61" s="85">
        <f>O60*'FNC-ORD_prospetto riassuntivo'!$B$28*Q61</f>
        <v>72.396432401623329</v>
      </c>
      <c r="L61" s="85">
        <f t="shared" si="4"/>
        <v>537.06733271372025</v>
      </c>
      <c r="M61" s="85">
        <f t="shared" si="5"/>
        <v>609.46376511534356</v>
      </c>
      <c r="N61" s="86">
        <f t="shared" si="6"/>
        <v>28818.137612226721</v>
      </c>
      <c r="O61" s="85">
        <f>('FNC-ORD_prospetto riassuntivo'!$B$11-N61)*Q61</f>
        <v>21181.862387773279</v>
      </c>
      <c r="P61" s="85">
        <f>K61/(1+SUM('FNC-ORD_prospetto riassuntivo'!$B$29:$B$30)/'FNC-ORD_prospetto riassuntivo'!$B$24)^J61</f>
        <v>56.34247982786772</v>
      </c>
      <c r="Q61">
        <f>IF(J61=0,0,IF(OR(J61&lt;'FNC-ORD_prospetto riassuntivo'!$B$23+'FNC-ORD_prospetto riassuntivo'!$B$26,J61='FNC-ORD_prospetto riassuntivo'!$B$23+'FNC-ORD_prospetto riassuntivo'!$B$26),1,0))</f>
        <v>1</v>
      </c>
    </row>
    <row r="62" spans="10:17" x14ac:dyDescent="0.25">
      <c r="J62" s="84">
        <f>IF(J61=0,0,IF('FNC-ORD_prospetto riassuntivo'!$B$23+'FNC-ORD_prospetto riassuntivo'!$B$26&gt;J61,J61+1,0))</f>
        <v>60</v>
      </c>
      <c r="K62" s="85">
        <f>O61*'FNC-ORD_prospetto riassuntivo'!$B$28*Q62</f>
        <v>70.606207959244273</v>
      </c>
      <c r="L62" s="85">
        <f t="shared" si="4"/>
        <v>538.85755715609935</v>
      </c>
      <c r="M62" s="85">
        <f t="shared" si="5"/>
        <v>609.46376511534356</v>
      </c>
      <c r="N62" s="86">
        <f t="shared" si="6"/>
        <v>29356.995169382819</v>
      </c>
      <c r="O62" s="85">
        <f>('FNC-ORD_prospetto riassuntivo'!$B$11-N62)*Q62</f>
        <v>20643.004830617181</v>
      </c>
      <c r="P62" s="85">
        <f>K62/(1+SUM('FNC-ORD_prospetto riassuntivo'!$B$29:$B$30)/'FNC-ORD_prospetto riassuntivo'!$B$24)^J62</f>
        <v>54.716238752568891</v>
      </c>
      <c r="Q62">
        <f>IF(J62=0,0,IF(OR(J62&lt;'FNC-ORD_prospetto riassuntivo'!$B$23+'FNC-ORD_prospetto riassuntivo'!$B$26,J62='FNC-ORD_prospetto riassuntivo'!$B$23+'FNC-ORD_prospetto riassuntivo'!$B$26),1,0))</f>
        <v>1</v>
      </c>
    </row>
    <row r="63" spans="10:17" x14ac:dyDescent="0.25">
      <c r="J63" s="84">
        <f>IF(J62=0,0,IF('FNC-ORD_prospetto riassuntivo'!$B$23+'FNC-ORD_prospetto riassuntivo'!$B$26&gt;J62,J62+1,0))</f>
        <v>61</v>
      </c>
      <c r="K63" s="85">
        <f>O62*'FNC-ORD_prospetto riassuntivo'!$B$28*Q63</f>
        <v>68.810016102057276</v>
      </c>
      <c r="L63" s="85">
        <f t="shared" si="4"/>
        <v>540.6537490132863</v>
      </c>
      <c r="M63" s="85">
        <f t="shared" si="5"/>
        <v>609.46376511534356</v>
      </c>
      <c r="N63" s="86">
        <f t="shared" si="6"/>
        <v>29897.648918396106</v>
      </c>
      <c r="O63" s="85">
        <f>('FNC-ORD_prospetto riassuntivo'!$B$11-N63)*Q63</f>
        <v>20102.351081603894</v>
      </c>
      <c r="P63" s="85">
        <f>K63/(1+SUM('FNC-ORD_prospetto riassuntivo'!$B$29:$B$30)/'FNC-ORD_prospetto riassuntivo'!$B$24)^J63</f>
        <v>53.098171231492387</v>
      </c>
      <c r="Q63">
        <f>IF(J63=0,0,IF(OR(J63&lt;'FNC-ORD_prospetto riassuntivo'!$B$23+'FNC-ORD_prospetto riassuntivo'!$B$26,J63='FNC-ORD_prospetto riassuntivo'!$B$23+'FNC-ORD_prospetto riassuntivo'!$B$26),1,0))</f>
        <v>1</v>
      </c>
    </row>
    <row r="64" spans="10:17" x14ac:dyDescent="0.25">
      <c r="J64" s="84">
        <f>IF(J63=0,0,IF('FNC-ORD_prospetto riassuntivo'!$B$23+'FNC-ORD_prospetto riassuntivo'!$B$26&gt;J63,J63+1,0))</f>
        <v>62</v>
      </c>
      <c r="K64" s="85">
        <f>O63*'FNC-ORD_prospetto riassuntivo'!$B$28*Q64</f>
        <v>67.007836938679645</v>
      </c>
      <c r="L64" s="85">
        <f t="shared" si="4"/>
        <v>542.45592817666397</v>
      </c>
      <c r="M64" s="85">
        <f t="shared" si="5"/>
        <v>609.46376511534356</v>
      </c>
      <c r="N64" s="86">
        <f t="shared" si="6"/>
        <v>30440.104846572769</v>
      </c>
      <c r="O64" s="85">
        <f>('FNC-ORD_prospetto riassuntivo'!$B$11-N64)*Q64</f>
        <v>19559.895153427231</v>
      </c>
      <c r="P64" s="85">
        <f>K64/(1+SUM('FNC-ORD_prospetto riassuntivo'!$B$29:$B$30)/'FNC-ORD_prospetto riassuntivo'!$B$24)^J64</f>
        <v>51.488241429513941</v>
      </c>
      <c r="Q64">
        <f>IF(J64=0,0,IF(OR(J64&lt;'FNC-ORD_prospetto riassuntivo'!$B$23+'FNC-ORD_prospetto riassuntivo'!$B$26,J64='FNC-ORD_prospetto riassuntivo'!$B$23+'FNC-ORD_prospetto riassuntivo'!$B$26),1,0))</f>
        <v>1</v>
      </c>
    </row>
    <row r="65" spans="10:17" x14ac:dyDescent="0.25">
      <c r="J65" s="84">
        <f>IF(J64=0,0,IF('FNC-ORD_prospetto riassuntivo'!$B$23+'FNC-ORD_prospetto riassuntivo'!$B$26&gt;J64,J64+1,0))</f>
        <v>63</v>
      </c>
      <c r="K65" s="85">
        <f>O64*'FNC-ORD_prospetto riassuntivo'!$B$28*Q65</f>
        <v>65.19965051142411</v>
      </c>
      <c r="L65" s="85">
        <f t="shared" si="4"/>
        <v>544.26411460391944</v>
      </c>
      <c r="M65" s="85">
        <f t="shared" si="5"/>
        <v>609.46376511534356</v>
      </c>
      <c r="N65" s="86">
        <f t="shared" si="6"/>
        <v>30984.368961176689</v>
      </c>
      <c r="O65" s="85">
        <f>('FNC-ORD_prospetto riassuntivo'!$B$11-N65)*Q65</f>
        <v>19015.631038823311</v>
      </c>
      <c r="P65" s="85">
        <f>K65/(1+SUM('FNC-ORD_prospetto riassuntivo'!$B$29:$B$30)/'FNC-ORD_prospetto riassuntivo'!$B$24)^J65</f>
        <v>49.886413664544314</v>
      </c>
      <c r="Q65">
        <f>IF(J65=0,0,IF(OR(J65&lt;'FNC-ORD_prospetto riassuntivo'!$B$23+'FNC-ORD_prospetto riassuntivo'!$B$26,J65='FNC-ORD_prospetto riassuntivo'!$B$23+'FNC-ORD_prospetto riassuntivo'!$B$26),1,0))</f>
        <v>1</v>
      </c>
    </row>
    <row r="66" spans="10:17" x14ac:dyDescent="0.25">
      <c r="J66" s="84">
        <f>IF(J65=0,0,IF('FNC-ORD_prospetto riassuntivo'!$B$23+'FNC-ORD_prospetto riassuntivo'!$B$26&gt;J65,J65+1,0))</f>
        <v>64</v>
      </c>
      <c r="K66" s="85">
        <f>O65*'FNC-ORD_prospetto riassuntivo'!$B$28*Q66</f>
        <v>63.385436796077705</v>
      </c>
      <c r="L66" s="85">
        <f t="shared" si="4"/>
        <v>546.07832831926589</v>
      </c>
      <c r="M66" s="85">
        <f t="shared" si="5"/>
        <v>609.46376511534356</v>
      </c>
      <c r="N66" s="86">
        <f t="shared" si="6"/>
        <v>31530.447289495954</v>
      </c>
      <c r="O66" s="85">
        <f>('FNC-ORD_prospetto riassuntivo'!$B$11-N66)*Q66</f>
        <v>18469.552710504046</v>
      </c>
      <c r="P66" s="85">
        <f>K66/(1+SUM('FNC-ORD_prospetto riassuntivo'!$B$29:$B$30)/'FNC-ORD_prospetto riassuntivo'!$B$24)^J66</f>
        <v>48.292652406879192</v>
      </c>
      <c r="Q66">
        <f>IF(J66=0,0,IF(OR(J66&lt;'FNC-ORD_prospetto riassuntivo'!$B$23+'FNC-ORD_prospetto riassuntivo'!$B$26,J66='FNC-ORD_prospetto riassuntivo'!$B$23+'FNC-ORD_prospetto riassuntivo'!$B$26),1,0))</f>
        <v>1</v>
      </c>
    </row>
    <row r="67" spans="10:17" x14ac:dyDescent="0.25">
      <c r="J67" s="84">
        <f>IF(J66=0,0,IF('FNC-ORD_prospetto riassuntivo'!$B$23+'FNC-ORD_prospetto riassuntivo'!$B$26&gt;J66,J66+1,0))</f>
        <v>65</v>
      </c>
      <c r="K67" s="85">
        <f>O66*'FNC-ORD_prospetto riassuntivo'!$B$28*Q67</f>
        <v>61.565175701680154</v>
      </c>
      <c r="L67" s="85">
        <f t="shared" ref="L67:L98" si="7">M67-K67</f>
        <v>547.89858941366344</v>
      </c>
      <c r="M67" s="85">
        <f t="shared" si="5"/>
        <v>609.46376511534356</v>
      </c>
      <c r="N67" s="86">
        <f t="shared" si="6"/>
        <v>32078.345878909618</v>
      </c>
      <c r="O67" s="85">
        <f>('FNC-ORD_prospetto riassuntivo'!$B$11-N67)*Q67</f>
        <v>17921.654121090382</v>
      </c>
      <c r="P67" s="85">
        <f>K67/(1+SUM('FNC-ORD_prospetto riassuntivo'!$B$29:$B$30)/'FNC-ORD_prospetto riassuntivo'!$B$24)^J67</f>
        <v>46.70692227855227</v>
      </c>
      <c r="Q67">
        <f>IF(J67=0,0,IF(OR(J67&lt;'FNC-ORD_prospetto riassuntivo'!$B$23+'FNC-ORD_prospetto riassuntivo'!$B$26,J67='FNC-ORD_prospetto riassuntivo'!$B$23+'FNC-ORD_prospetto riassuntivo'!$B$26),1,0))</f>
        <v>1</v>
      </c>
    </row>
    <row r="68" spans="10:17" x14ac:dyDescent="0.25">
      <c r="J68" s="84">
        <f>IF(J67=0,0,IF('FNC-ORD_prospetto riassuntivo'!$B$23+'FNC-ORD_prospetto riassuntivo'!$B$26&gt;J67,J67+1,0))</f>
        <v>66</v>
      </c>
      <c r="K68" s="85">
        <f>O67*'FNC-ORD_prospetto riassuntivo'!$B$28*Q68</f>
        <v>59.738847070301276</v>
      </c>
      <c r="L68" s="85">
        <f t="shared" si="7"/>
        <v>549.72491804504227</v>
      </c>
      <c r="M68" s="85">
        <f t="shared" ref="M68:M98" si="8">$M$3*Q68</f>
        <v>609.46376511534356</v>
      </c>
      <c r="N68" s="86">
        <f t="shared" ref="N68:N98" si="9">(L68+N67)*Q68</f>
        <v>32628.07079695466</v>
      </c>
      <c r="O68" s="85">
        <f>('FNC-ORD_prospetto riassuntivo'!$B$11-N68)*Q68</f>
        <v>17371.92920304534</v>
      </c>
      <c r="P68" s="85">
        <f>K68/(1+SUM('FNC-ORD_prospetto riassuntivo'!$B$29:$B$30)/'FNC-ORD_prospetto riassuntivo'!$B$24)^J68</f>
        <v>45.129188052690644</v>
      </c>
      <c r="Q68">
        <f>IF(J68=0,0,IF(OR(J68&lt;'FNC-ORD_prospetto riassuntivo'!$B$23+'FNC-ORD_prospetto riassuntivo'!$B$26,J68='FNC-ORD_prospetto riassuntivo'!$B$23+'FNC-ORD_prospetto riassuntivo'!$B$26),1,0))</f>
        <v>1</v>
      </c>
    </row>
    <row r="69" spans="10:17" x14ac:dyDescent="0.25">
      <c r="J69" s="84">
        <f>IF(J68=0,0,IF('FNC-ORD_prospetto riassuntivo'!$B$23+'FNC-ORD_prospetto riassuntivo'!$B$26&gt;J68,J68+1,0))</f>
        <v>67</v>
      </c>
      <c r="K69" s="85">
        <f>O68*'FNC-ORD_prospetto riassuntivo'!$B$28*Q69</f>
        <v>57.906430676817806</v>
      </c>
      <c r="L69" s="85">
        <f t="shared" si="7"/>
        <v>551.5573344385258</v>
      </c>
      <c r="M69" s="85">
        <f t="shared" si="8"/>
        <v>609.46376511534356</v>
      </c>
      <c r="N69" s="86">
        <f t="shared" si="9"/>
        <v>33179.628131393183</v>
      </c>
      <c r="O69" s="85">
        <f>('FNC-ORD_prospetto riassuntivo'!$B$11-N69)*Q69</f>
        <v>16820.371868606817</v>
      </c>
      <c r="P69" s="85">
        <f>K69/(1+SUM('FNC-ORD_prospetto riassuntivo'!$B$29:$B$30)/'FNC-ORD_prospetto riassuntivo'!$B$24)^J69</f>
        <v>43.559414652873215</v>
      </c>
      <c r="Q69">
        <f>IF(J69=0,0,IF(OR(J69&lt;'FNC-ORD_prospetto riassuntivo'!$B$23+'FNC-ORD_prospetto riassuntivo'!$B$26,J69='FNC-ORD_prospetto riassuntivo'!$B$23+'FNC-ORD_prospetto riassuntivo'!$B$26),1,0))</f>
        <v>1</v>
      </c>
    </row>
    <row r="70" spans="10:17" x14ac:dyDescent="0.25">
      <c r="J70" s="84">
        <f>IF(J69=0,0,IF('FNC-ORD_prospetto riassuntivo'!$B$23+'FNC-ORD_prospetto riassuntivo'!$B$26&gt;J69,J69+1,0))</f>
        <v>68</v>
      </c>
      <c r="K70" s="85">
        <f>O69*'FNC-ORD_prospetto riassuntivo'!$B$28*Q70</f>
        <v>56.067906228689395</v>
      </c>
      <c r="L70" s="85">
        <f t="shared" si="7"/>
        <v>553.3958588866542</v>
      </c>
      <c r="M70" s="85">
        <f t="shared" si="8"/>
        <v>609.46376511534356</v>
      </c>
      <c r="N70" s="86">
        <f t="shared" si="9"/>
        <v>33733.023990279835</v>
      </c>
      <c r="O70" s="85">
        <f>('FNC-ORD_prospetto riassuntivo'!$B$11-N70)*Q70</f>
        <v>16266.976009720165</v>
      </c>
      <c r="P70" s="85">
        <f>K70/(1+SUM('FNC-ORD_prospetto riassuntivo'!$B$29:$B$30)/'FNC-ORD_prospetto riassuntivo'!$B$24)^J70</f>
        <v>41.99756715249179</v>
      </c>
      <c r="Q70">
        <f>IF(J70=0,0,IF(OR(J70&lt;'FNC-ORD_prospetto riassuntivo'!$B$23+'FNC-ORD_prospetto riassuntivo'!$B$26,J70='FNC-ORD_prospetto riassuntivo'!$B$23+'FNC-ORD_prospetto riassuntivo'!$B$26),1,0))</f>
        <v>1</v>
      </c>
    </row>
    <row r="71" spans="10:17" x14ac:dyDescent="0.25">
      <c r="J71" s="84">
        <f>IF(J70=0,0,IF('FNC-ORD_prospetto riassuntivo'!$B$23+'FNC-ORD_prospetto riassuntivo'!$B$26&gt;J70,J70+1,0))</f>
        <v>69</v>
      </c>
      <c r="K71" s="85">
        <f>O70*'FNC-ORD_prospetto riassuntivo'!$B$28*Q71</f>
        <v>54.223253365733889</v>
      </c>
      <c r="L71" s="85">
        <f t="shared" si="7"/>
        <v>555.24051174960971</v>
      </c>
      <c r="M71" s="85">
        <f t="shared" si="8"/>
        <v>609.46376511534356</v>
      </c>
      <c r="N71" s="86">
        <f t="shared" si="9"/>
        <v>34288.264502029444</v>
      </c>
      <c r="O71" s="85">
        <f>('FNC-ORD_prospetto riassuntivo'!$B$11-N71)*Q71</f>
        <v>15711.735497970556</v>
      </c>
      <c r="P71" s="85">
        <f>K71/(1+SUM('FNC-ORD_prospetto riassuntivo'!$B$29:$B$30)/'FNC-ORD_prospetto riassuntivo'!$B$24)^J71</f>
        <v>40.443610774114724</v>
      </c>
      <c r="Q71">
        <f>IF(J71=0,0,IF(OR(J71&lt;'FNC-ORD_prospetto riassuntivo'!$B$23+'FNC-ORD_prospetto riassuntivo'!$B$26,J71='FNC-ORD_prospetto riassuntivo'!$B$23+'FNC-ORD_prospetto riassuntivo'!$B$26),1,0))</f>
        <v>1</v>
      </c>
    </row>
    <row r="72" spans="10:17" x14ac:dyDescent="0.25">
      <c r="J72" s="84">
        <f>IF(J71=0,0,IF('FNC-ORD_prospetto riassuntivo'!$B$23+'FNC-ORD_prospetto riassuntivo'!$B$26&gt;J71,J71+1,0))</f>
        <v>70</v>
      </c>
      <c r="K72" s="85">
        <f>O71*'FNC-ORD_prospetto riassuntivo'!$B$28*Q72</f>
        <v>52.372451659901856</v>
      </c>
      <c r="L72" s="85">
        <f t="shared" si="7"/>
        <v>557.09131345544165</v>
      </c>
      <c r="M72" s="85">
        <f t="shared" si="8"/>
        <v>609.46376511534356</v>
      </c>
      <c r="N72" s="86">
        <f t="shared" si="9"/>
        <v>34845.355815484887</v>
      </c>
      <c r="O72" s="85">
        <f>('FNC-ORD_prospetto riassuntivo'!$B$11-N72)*Q72</f>
        <v>15154.644184515113</v>
      </c>
      <c r="P72" s="85">
        <f>K72/(1+SUM('FNC-ORD_prospetto riassuntivo'!$B$29:$B$30)/'FNC-ORD_prospetto riassuntivo'!$B$24)^J72</f>
        <v>38.897510888853468</v>
      </c>
      <c r="Q72">
        <f>IF(J72=0,0,IF(OR(J72&lt;'FNC-ORD_prospetto riassuntivo'!$B$23+'FNC-ORD_prospetto riassuntivo'!$B$26,J72='FNC-ORD_prospetto riassuntivo'!$B$23+'FNC-ORD_prospetto riassuntivo'!$B$26),1,0))</f>
        <v>1</v>
      </c>
    </row>
    <row r="73" spans="10:17" x14ac:dyDescent="0.25">
      <c r="J73" s="84">
        <f>IF(J72=0,0,IF('FNC-ORD_prospetto riassuntivo'!$B$23+'FNC-ORD_prospetto riassuntivo'!$B$26&gt;J72,J72+1,0))</f>
        <v>71</v>
      </c>
      <c r="K73" s="85">
        <f>O72*'FNC-ORD_prospetto riassuntivo'!$B$28*Q73</f>
        <v>50.515480615050379</v>
      </c>
      <c r="L73" s="85">
        <f t="shared" si="7"/>
        <v>558.9482845002932</v>
      </c>
      <c r="M73" s="85">
        <f t="shared" si="8"/>
        <v>609.46376511534356</v>
      </c>
      <c r="N73" s="86">
        <f t="shared" si="9"/>
        <v>35404.30409998518</v>
      </c>
      <c r="O73" s="85">
        <f>('FNC-ORD_prospetto riassuntivo'!$B$11-N73)*Q73</f>
        <v>14595.69590001482</v>
      </c>
      <c r="P73" s="85">
        <f>K73/(1+SUM('FNC-ORD_prospetto riassuntivo'!$B$29:$B$30)/'FNC-ORD_prospetto riassuntivo'!$B$24)^J73</f>
        <v>37.359233015731689</v>
      </c>
      <c r="Q73">
        <f>IF(J73=0,0,IF(OR(J73&lt;'FNC-ORD_prospetto riassuntivo'!$B$23+'FNC-ORD_prospetto riassuntivo'!$B$26,J73='FNC-ORD_prospetto riassuntivo'!$B$23+'FNC-ORD_prospetto riassuntivo'!$B$26),1,0))</f>
        <v>1</v>
      </c>
    </row>
    <row r="74" spans="10:17" x14ac:dyDescent="0.25">
      <c r="J74" s="84">
        <f>IF(J73=0,0,IF('FNC-ORD_prospetto riassuntivo'!$B$23+'FNC-ORD_prospetto riassuntivo'!$B$26&gt;J73,J73+1,0))</f>
        <v>72</v>
      </c>
      <c r="K74" s="85">
        <f>O73*'FNC-ORD_prospetto riassuntivo'!$B$28*Q74</f>
        <v>48.652319666716068</v>
      </c>
      <c r="L74" s="85">
        <f t="shared" si="7"/>
        <v>560.81144544862752</v>
      </c>
      <c r="M74" s="85">
        <f t="shared" si="8"/>
        <v>609.46376511534356</v>
      </c>
      <c r="N74" s="86">
        <f t="shared" si="9"/>
        <v>35965.115545433808</v>
      </c>
      <c r="O74" s="85">
        <f>('FNC-ORD_prospetto riassuntivo'!$B$11-N74)*Q74</f>
        <v>14034.884454566192</v>
      </c>
      <c r="P74" s="85">
        <f>K74/(1+SUM('FNC-ORD_prospetto riassuntivo'!$B$29:$B$30)/'FNC-ORD_prospetto riassuntivo'!$B$24)^J74</f>
        <v>35.828742821057084</v>
      </c>
      <c r="Q74">
        <f>IF(J74=0,0,IF(OR(J74&lt;'FNC-ORD_prospetto riassuntivo'!$B$23+'FNC-ORD_prospetto riassuntivo'!$B$26,J74='FNC-ORD_prospetto riassuntivo'!$B$23+'FNC-ORD_prospetto riassuntivo'!$B$26),1,0))</f>
        <v>1</v>
      </c>
    </row>
    <row r="75" spans="10:17" x14ac:dyDescent="0.25">
      <c r="J75" s="84">
        <f>IF(J74=0,0,IF('FNC-ORD_prospetto riassuntivo'!$B$23+'FNC-ORD_prospetto riassuntivo'!$B$26&gt;J74,J74+1,0))</f>
        <v>73</v>
      </c>
      <c r="K75" s="85">
        <f>O74*'FNC-ORD_prospetto riassuntivo'!$B$28*Q75</f>
        <v>46.782948181887313</v>
      </c>
      <c r="L75" s="85">
        <f t="shared" si="7"/>
        <v>562.6808169334563</v>
      </c>
      <c r="M75" s="85">
        <f t="shared" si="8"/>
        <v>609.46376511534356</v>
      </c>
      <c r="N75" s="86">
        <f t="shared" si="9"/>
        <v>36527.796362367262</v>
      </c>
      <c r="O75" s="85">
        <f>('FNC-ORD_prospetto riassuntivo'!$B$11-N75)*Q75</f>
        <v>13472.203637632738</v>
      </c>
      <c r="P75" s="85">
        <f>K75/(1+SUM('FNC-ORD_prospetto riassuntivo'!$B$29:$B$30)/'FNC-ORD_prospetto riassuntivo'!$B$24)^J75</f>
        <v>34.306006117795867</v>
      </c>
      <c r="Q75">
        <f>IF(J75=0,0,IF(OR(J75&lt;'FNC-ORD_prospetto riassuntivo'!$B$23+'FNC-ORD_prospetto riassuntivo'!$B$26,J75='FNC-ORD_prospetto riassuntivo'!$B$23+'FNC-ORD_prospetto riassuntivo'!$B$26),1,0))</f>
        <v>1</v>
      </c>
    </row>
    <row r="76" spans="10:17" x14ac:dyDescent="0.25">
      <c r="J76" s="84">
        <f>IF(J75=0,0,IF('FNC-ORD_prospetto riassuntivo'!$B$23+'FNC-ORD_prospetto riassuntivo'!$B$26&gt;J75,J75+1,0))</f>
        <v>74</v>
      </c>
      <c r="K76" s="85">
        <f>O75*'FNC-ORD_prospetto riassuntivo'!$B$28*Q76</f>
        <v>44.907345458775794</v>
      </c>
      <c r="L76" s="85">
        <f t="shared" si="7"/>
        <v>564.55641965656775</v>
      </c>
      <c r="M76" s="85">
        <f t="shared" si="8"/>
        <v>609.46376511534356</v>
      </c>
      <c r="N76" s="86">
        <f t="shared" si="9"/>
        <v>37092.352782023831</v>
      </c>
      <c r="O76" s="85">
        <f>('FNC-ORD_prospetto riassuntivo'!$B$11-N76)*Q76</f>
        <v>12907.647217976169</v>
      </c>
      <c r="P76" s="85">
        <f>K76/(1+SUM('FNC-ORD_prospetto riassuntivo'!$B$29:$B$30)/'FNC-ORD_prospetto riassuntivo'!$B$24)^J76</f>
        <v>32.790988864949895</v>
      </c>
      <c r="Q76">
        <f>IF(J76=0,0,IF(OR(J76&lt;'FNC-ORD_prospetto riassuntivo'!$B$23+'FNC-ORD_prospetto riassuntivo'!$B$26,J76='FNC-ORD_prospetto riassuntivo'!$B$23+'FNC-ORD_prospetto riassuntivo'!$B$26),1,0))</f>
        <v>1</v>
      </c>
    </row>
    <row r="77" spans="10:17" x14ac:dyDescent="0.25">
      <c r="J77" s="84">
        <f>IF(J76=0,0,IF('FNC-ORD_prospetto riassuntivo'!$B$23+'FNC-ORD_prospetto riassuntivo'!$B$26&gt;J76,J76+1,0))</f>
        <v>75</v>
      </c>
      <c r="K77" s="85">
        <f>O76*'FNC-ORD_prospetto riassuntivo'!$B$28*Q77</f>
        <v>43.025490726587236</v>
      </c>
      <c r="L77" s="85">
        <f t="shared" si="7"/>
        <v>566.43827438875633</v>
      </c>
      <c r="M77" s="85">
        <f t="shared" si="8"/>
        <v>609.46376511534356</v>
      </c>
      <c r="N77" s="86">
        <f t="shared" si="9"/>
        <v>37658.791056412585</v>
      </c>
      <c r="O77" s="85">
        <f>('FNC-ORD_prospetto riassuntivo'!$B$11-N77)*Q77</f>
        <v>12341.208943587415</v>
      </c>
      <c r="P77" s="85">
        <f>K77/(1+SUM('FNC-ORD_prospetto riassuntivo'!$B$29:$B$30)/'FNC-ORD_prospetto riassuntivo'!$B$24)^J77</f>
        <v>31.283657166936468</v>
      </c>
      <c r="Q77">
        <f>IF(J77=0,0,IF(OR(J77&lt;'FNC-ORD_prospetto riassuntivo'!$B$23+'FNC-ORD_prospetto riassuntivo'!$B$26,J77='FNC-ORD_prospetto riassuntivo'!$B$23+'FNC-ORD_prospetto riassuntivo'!$B$26),1,0))</f>
        <v>1</v>
      </c>
    </row>
    <row r="78" spans="10:17" x14ac:dyDescent="0.25">
      <c r="J78" s="84">
        <f>IF(J77=0,0,IF('FNC-ORD_prospetto riassuntivo'!$B$23+'FNC-ORD_prospetto riassuntivo'!$B$26&gt;J77,J77+1,0))</f>
        <v>76</v>
      </c>
      <c r="K78" s="85">
        <f>O77*'FNC-ORD_prospetto riassuntivo'!$B$28*Q78</f>
        <v>41.137363145291388</v>
      </c>
      <c r="L78" s="85">
        <f t="shared" si="7"/>
        <v>568.32640197005219</v>
      </c>
      <c r="M78" s="85">
        <f t="shared" si="8"/>
        <v>609.46376511534356</v>
      </c>
      <c r="N78" s="86">
        <f t="shared" si="9"/>
        <v>38227.117458382636</v>
      </c>
      <c r="O78" s="85">
        <f>('FNC-ORD_prospetto riassuntivo'!$B$11-N78)*Q78</f>
        <v>11772.882541617364</v>
      </c>
      <c r="P78" s="85">
        <f>K78/(1+SUM('FNC-ORD_prospetto riassuntivo'!$B$29:$B$30)/'FNC-ORD_prospetto riassuntivo'!$B$24)^J78</f>
        <v>29.783977272970731</v>
      </c>
      <c r="Q78">
        <f>IF(J78=0,0,IF(OR(J78&lt;'FNC-ORD_prospetto riassuntivo'!$B$23+'FNC-ORD_prospetto riassuntivo'!$B$26,J78='FNC-ORD_prospetto riassuntivo'!$B$23+'FNC-ORD_prospetto riassuntivo'!$B$26),1,0))</f>
        <v>1</v>
      </c>
    </row>
    <row r="79" spans="10:17" x14ac:dyDescent="0.25">
      <c r="J79" s="84">
        <f>IF(J78=0,0,IF('FNC-ORD_prospetto riassuntivo'!$B$23+'FNC-ORD_prospetto riassuntivo'!$B$26&gt;J78,J78+1,0))</f>
        <v>77</v>
      </c>
      <c r="K79" s="85">
        <f>O78*'FNC-ORD_prospetto riassuntivo'!$B$28*Q79</f>
        <v>39.242941805391219</v>
      </c>
      <c r="L79" s="85">
        <f t="shared" si="7"/>
        <v>570.22082330995238</v>
      </c>
      <c r="M79" s="85">
        <f t="shared" si="8"/>
        <v>609.46376511534356</v>
      </c>
      <c r="N79" s="86">
        <f t="shared" si="9"/>
        <v>38797.338281692588</v>
      </c>
      <c r="O79" s="85">
        <f>('FNC-ORD_prospetto riassuntivo'!$B$11-N79)*Q79</f>
        <v>11202.661718307412</v>
      </c>
      <c r="P79" s="85">
        <f>K79/(1+SUM('FNC-ORD_prospetto riassuntivo'!$B$29:$B$30)/'FNC-ORD_prospetto riassuntivo'!$B$24)^J79</f>
        <v>28.291915576450705</v>
      </c>
      <c r="Q79">
        <f>IF(J79=0,0,IF(OR(J79&lt;'FNC-ORD_prospetto riassuntivo'!$B$23+'FNC-ORD_prospetto riassuntivo'!$B$26,J79='FNC-ORD_prospetto riassuntivo'!$B$23+'FNC-ORD_prospetto riassuntivo'!$B$26),1,0))</f>
        <v>1</v>
      </c>
    </row>
    <row r="80" spans="10:17" x14ac:dyDescent="0.25">
      <c r="J80" s="84">
        <f>IF(J79=0,0,IF('FNC-ORD_prospetto riassuntivo'!$B$23+'FNC-ORD_prospetto riassuntivo'!$B$26&gt;J79,J79+1,0))</f>
        <v>78</v>
      </c>
      <c r="K80" s="85">
        <f>O79*'FNC-ORD_prospetto riassuntivo'!$B$28*Q80</f>
        <v>37.342205727691379</v>
      </c>
      <c r="L80" s="85">
        <f t="shared" si="7"/>
        <v>572.12155938765216</v>
      </c>
      <c r="M80" s="85">
        <f t="shared" si="8"/>
        <v>609.46376511534356</v>
      </c>
      <c r="N80" s="86">
        <f t="shared" si="9"/>
        <v>39369.459841080243</v>
      </c>
      <c r="O80" s="85">
        <f>('FNC-ORD_prospetto riassuntivo'!$B$11-N80)*Q80</f>
        <v>10630.540158919757</v>
      </c>
      <c r="P80" s="85">
        <f>K80/(1+SUM('FNC-ORD_prospetto riassuntivo'!$B$29:$B$30)/'FNC-ORD_prospetto riassuntivo'!$B$24)^J80</f>
        <v>26.807438614344925</v>
      </c>
      <c r="Q80">
        <f>IF(J80=0,0,IF(OR(J80&lt;'FNC-ORD_prospetto riassuntivo'!$B$23+'FNC-ORD_prospetto riassuntivo'!$B$26,J80='FNC-ORD_prospetto riassuntivo'!$B$23+'FNC-ORD_prospetto riassuntivo'!$B$26),1,0))</f>
        <v>1</v>
      </c>
    </row>
    <row r="81" spans="10:17" x14ac:dyDescent="0.25">
      <c r="J81" s="84">
        <f>IF(J80=0,0,IF('FNC-ORD_prospetto riassuntivo'!$B$23+'FNC-ORD_prospetto riassuntivo'!$B$26&gt;J80,J80+1,0))</f>
        <v>79</v>
      </c>
      <c r="K81" s="85">
        <f>O80*'FNC-ORD_prospetto riassuntivo'!$B$28*Q81</f>
        <v>35.435133863065857</v>
      </c>
      <c r="L81" s="85">
        <f t="shared" si="7"/>
        <v>574.02863125227771</v>
      </c>
      <c r="M81" s="85">
        <f t="shared" si="8"/>
        <v>609.46376511534356</v>
      </c>
      <c r="N81" s="86">
        <f t="shared" si="9"/>
        <v>39943.488472332523</v>
      </c>
      <c r="O81" s="85">
        <f>('FNC-ORD_prospetto riassuntivo'!$B$11-N81)*Q81</f>
        <v>10056.511527667477</v>
      </c>
      <c r="P81" s="85">
        <f>K81/(1+SUM('FNC-ORD_prospetto riassuntivo'!$B$29:$B$30)/'FNC-ORD_prospetto riassuntivo'!$B$24)^J81</f>
        <v>25.330513066582661</v>
      </c>
      <c r="Q81">
        <f>IF(J81=0,0,IF(OR(J81&lt;'FNC-ORD_prospetto riassuntivo'!$B$23+'FNC-ORD_prospetto riassuntivo'!$B$26,J81='FNC-ORD_prospetto riassuntivo'!$B$23+'FNC-ORD_prospetto riassuntivo'!$B$26),1,0))</f>
        <v>1</v>
      </c>
    </row>
    <row r="82" spans="10:17" x14ac:dyDescent="0.25">
      <c r="J82" s="84">
        <f>IF(J81=0,0,IF('FNC-ORD_prospetto riassuntivo'!$B$23+'FNC-ORD_prospetto riassuntivo'!$B$26&gt;J81,J81+1,0))</f>
        <v>80</v>
      </c>
      <c r="K82" s="85">
        <f>O81*'FNC-ORD_prospetto riassuntivo'!$B$28*Q82</f>
        <v>33.521705092224927</v>
      </c>
      <c r="L82" s="85">
        <f t="shared" si="7"/>
        <v>575.94206002311864</v>
      </c>
      <c r="M82" s="85">
        <f t="shared" si="8"/>
        <v>609.46376511534356</v>
      </c>
      <c r="N82" s="86">
        <f t="shared" si="9"/>
        <v>40519.43053235564</v>
      </c>
      <c r="O82" s="85">
        <f>('FNC-ORD_prospetto riassuntivo'!$B$11-N82)*Q82</f>
        <v>9480.56946764436</v>
      </c>
      <c r="P82" s="85">
        <f>K82/(1+SUM('FNC-ORD_prospetto riassuntivo'!$B$29:$B$30)/'FNC-ORD_prospetto riassuntivo'!$B$24)^J82</f>
        <v>23.861105755446779</v>
      </c>
      <c r="Q82">
        <f>IF(J82=0,0,IF(OR(J82&lt;'FNC-ORD_prospetto riassuntivo'!$B$23+'FNC-ORD_prospetto riassuntivo'!$B$26,J82='FNC-ORD_prospetto riassuntivo'!$B$23+'FNC-ORD_prospetto riassuntivo'!$B$26),1,0))</f>
        <v>1</v>
      </c>
    </row>
    <row r="83" spans="10:17" x14ac:dyDescent="0.25">
      <c r="J83" s="84">
        <f>IF(J82=0,0,IF('FNC-ORD_prospetto riassuntivo'!$B$23+'FNC-ORD_prospetto riassuntivo'!$B$26&gt;J82,J82+1,0))</f>
        <v>81</v>
      </c>
      <c r="K83" s="85">
        <f>O82*'FNC-ORD_prospetto riassuntivo'!$B$28*Q83</f>
        <v>31.6018982254812</v>
      </c>
      <c r="L83" s="85">
        <f t="shared" si="7"/>
        <v>577.86186688986231</v>
      </c>
      <c r="M83" s="85">
        <f t="shared" si="8"/>
        <v>609.46376511534356</v>
      </c>
      <c r="N83" s="86">
        <f t="shared" si="9"/>
        <v>41097.292399245503</v>
      </c>
      <c r="O83" s="85">
        <f>('FNC-ORD_prospetto riassuntivo'!$B$11-N83)*Q83</f>
        <v>8902.7076007544965</v>
      </c>
      <c r="P83" s="85">
        <f>K83/(1+SUM('FNC-ORD_prospetto riassuntivo'!$B$29:$B$30)/'FNC-ORD_prospetto riassuntivo'!$B$24)^J83</f>
        <v>22.399183644969124</v>
      </c>
      <c r="Q83">
        <f>IF(J83=0,0,IF(OR(J83&lt;'FNC-ORD_prospetto riassuntivo'!$B$23+'FNC-ORD_prospetto riassuntivo'!$B$26,J83='FNC-ORD_prospetto riassuntivo'!$B$23+'FNC-ORD_prospetto riassuntivo'!$B$26),1,0))</f>
        <v>1</v>
      </c>
    </row>
    <row r="84" spans="10:17" x14ac:dyDescent="0.25">
      <c r="J84" s="84">
        <f>IF(J83=0,0,IF('FNC-ORD_prospetto riassuntivo'!$B$23+'FNC-ORD_prospetto riassuntivo'!$B$26&gt;J83,J83+1,0))</f>
        <v>82</v>
      </c>
      <c r="K84" s="85">
        <f>O83*'FNC-ORD_prospetto riassuntivo'!$B$28*Q84</f>
        <v>29.675692002514989</v>
      </c>
      <c r="L84" s="85">
        <f t="shared" si="7"/>
        <v>579.78807311282856</v>
      </c>
      <c r="M84" s="85">
        <f t="shared" si="8"/>
        <v>609.46376511534356</v>
      </c>
      <c r="N84" s="86">
        <f t="shared" si="9"/>
        <v>41677.080472358335</v>
      </c>
      <c r="O84" s="85">
        <f>('FNC-ORD_prospetto riassuntivo'!$B$11-N84)*Q84</f>
        <v>8322.9195276416649</v>
      </c>
      <c r="P84" s="85">
        <f>K84/(1+SUM('FNC-ORD_prospetto riassuntivo'!$B$29:$B$30)/'FNC-ORD_prospetto riassuntivo'!$B$24)^J84</f>
        <v>20.944713840328447</v>
      </c>
      <c r="Q84">
        <f>IF(J84=0,0,IF(OR(J84&lt;'FNC-ORD_prospetto riassuntivo'!$B$23+'FNC-ORD_prospetto riassuntivo'!$B$26,J84='FNC-ORD_prospetto riassuntivo'!$B$23+'FNC-ORD_prospetto riassuntivo'!$B$26),1,0))</f>
        <v>1</v>
      </c>
    </row>
    <row r="85" spans="10:17" x14ac:dyDescent="0.25">
      <c r="J85" s="84">
        <f>IF(J84=0,0,IF('FNC-ORD_prospetto riassuntivo'!$B$23+'FNC-ORD_prospetto riassuntivo'!$B$26&gt;J84,J84+1,0))</f>
        <v>83</v>
      </c>
      <c r="K85" s="85">
        <f>O84*'FNC-ORD_prospetto riassuntivo'!$B$28*Q85</f>
        <v>27.743065092138885</v>
      </c>
      <c r="L85" s="85">
        <f t="shared" si="7"/>
        <v>581.7207000232047</v>
      </c>
      <c r="M85" s="85">
        <f t="shared" si="8"/>
        <v>609.46376511534356</v>
      </c>
      <c r="N85" s="86">
        <f t="shared" si="9"/>
        <v>42258.801172381543</v>
      </c>
      <c r="O85" s="85">
        <f>('FNC-ORD_prospetto riassuntivo'!$B$11-N85)*Q85</f>
        <v>7741.1988276184566</v>
      </c>
      <c r="P85" s="85">
        <f>K85/(1+SUM('FNC-ORD_prospetto riassuntivo'!$B$29:$B$30)/'FNC-ORD_prospetto riassuntivo'!$B$24)^J85</f>
        <v>19.497663587250965</v>
      </c>
      <c r="Q85">
        <f>IF(J85=0,0,IF(OR(J85&lt;'FNC-ORD_prospetto riassuntivo'!$B$23+'FNC-ORD_prospetto riassuntivo'!$B$26,J85='FNC-ORD_prospetto riassuntivo'!$B$23+'FNC-ORD_prospetto riassuntivo'!$B$26),1,0))</f>
        <v>1</v>
      </c>
    </row>
    <row r="86" spans="10:17" x14ac:dyDescent="0.25">
      <c r="J86" s="84">
        <f>IF(J85=0,0,IF('FNC-ORD_prospetto riassuntivo'!$B$23+'FNC-ORD_prospetto riassuntivo'!$B$26&gt;J85,J85+1,0))</f>
        <v>84</v>
      </c>
      <c r="K86" s="85">
        <f>O85*'FNC-ORD_prospetto riassuntivo'!$B$28*Q86</f>
        <v>25.803996092061524</v>
      </c>
      <c r="L86" s="85">
        <f t="shared" si="7"/>
        <v>583.65976902328202</v>
      </c>
      <c r="M86" s="85">
        <f t="shared" si="8"/>
        <v>609.46376511534356</v>
      </c>
      <c r="N86" s="86">
        <f t="shared" si="9"/>
        <v>42842.460941404825</v>
      </c>
      <c r="O86" s="85">
        <f>('FNC-ORD_prospetto riassuntivo'!$B$11-N86)*Q86</f>
        <v>7157.5390585951754</v>
      </c>
      <c r="P86" s="85">
        <f>K86/(1+SUM('FNC-ORD_prospetto riassuntivo'!$B$29:$B$30)/'FNC-ORD_prospetto riassuntivo'!$B$24)^J86</f>
        <v>18.058000271413412</v>
      </c>
      <c r="Q86">
        <f>IF(J86=0,0,IF(OR(J86&lt;'FNC-ORD_prospetto riassuntivo'!$B$23+'FNC-ORD_prospetto riassuntivo'!$B$26,J86='FNC-ORD_prospetto riassuntivo'!$B$23+'FNC-ORD_prospetto riassuntivo'!$B$26),1,0))</f>
        <v>1</v>
      </c>
    </row>
    <row r="87" spans="10:17" x14ac:dyDescent="0.25">
      <c r="J87" s="84">
        <f>IF(J86=0,0,IF('FNC-ORD_prospetto riassuntivo'!$B$23+'FNC-ORD_prospetto riassuntivo'!$B$26&gt;J86,J86+1,0))</f>
        <v>85</v>
      </c>
      <c r="K87" s="85">
        <f>O86*'FNC-ORD_prospetto riassuntivo'!$B$28*Q87</f>
        <v>23.858463528650585</v>
      </c>
      <c r="L87" s="85">
        <f t="shared" si="7"/>
        <v>585.60530158669303</v>
      </c>
      <c r="M87" s="85">
        <f t="shared" si="8"/>
        <v>609.46376511534356</v>
      </c>
      <c r="N87" s="86">
        <f t="shared" si="9"/>
        <v>43428.066242991517</v>
      </c>
      <c r="O87" s="85">
        <f>('FNC-ORD_prospetto riassuntivo'!$B$11-N87)*Q87</f>
        <v>6571.9337570084826</v>
      </c>
      <c r="P87" s="85">
        <f>K87/(1+SUM('FNC-ORD_prospetto riassuntivo'!$B$29:$B$30)/'FNC-ORD_prospetto riassuntivo'!$B$24)^J87</f>
        <v>16.625691417848625</v>
      </c>
      <c r="Q87">
        <f>IF(J87=0,0,IF(OR(J87&lt;'FNC-ORD_prospetto riassuntivo'!$B$23+'FNC-ORD_prospetto riassuntivo'!$B$26,J87='FNC-ORD_prospetto riassuntivo'!$B$23+'FNC-ORD_prospetto riassuntivo'!$B$26),1,0))</f>
        <v>1</v>
      </c>
    </row>
    <row r="88" spans="10:17" x14ac:dyDescent="0.25">
      <c r="J88" s="84">
        <f>IF(J87=0,0,IF('FNC-ORD_prospetto riassuntivo'!$B$23+'FNC-ORD_prospetto riassuntivo'!$B$26&gt;J87,J87+1,0))</f>
        <v>86</v>
      </c>
      <c r="K88" s="85">
        <f>O87*'FNC-ORD_prospetto riassuntivo'!$B$28*Q88</f>
        <v>21.906445856694944</v>
      </c>
      <c r="L88" s="85">
        <f t="shared" si="7"/>
        <v>587.55731925864859</v>
      </c>
      <c r="M88" s="85">
        <f t="shared" si="8"/>
        <v>609.46376511534356</v>
      </c>
      <c r="N88" s="86">
        <f t="shared" si="9"/>
        <v>44015.623562250163</v>
      </c>
      <c r="O88" s="85">
        <f>('FNC-ORD_prospetto riassuntivo'!$B$11-N88)*Q88</f>
        <v>5984.3764377498374</v>
      </c>
      <c r="P88" s="85">
        <f>K88/(1+SUM('FNC-ORD_prospetto riassuntivo'!$B$29:$B$30)/'FNC-ORD_prospetto riassuntivo'!$B$24)^J88</f>
        <v>15.200704690353644</v>
      </c>
      <c r="Q88">
        <f>IF(J88=0,0,IF(OR(J88&lt;'FNC-ORD_prospetto riassuntivo'!$B$23+'FNC-ORD_prospetto riassuntivo'!$B$26,J88='FNC-ORD_prospetto riassuntivo'!$B$23+'FNC-ORD_prospetto riassuntivo'!$B$26),1,0))</f>
        <v>1</v>
      </c>
    </row>
    <row r="89" spans="10:17" x14ac:dyDescent="0.25">
      <c r="J89" s="84">
        <f>IF(J88=0,0,IF('FNC-ORD_prospetto riassuntivo'!$B$23+'FNC-ORD_prospetto riassuntivo'!$B$26&gt;J88,J88+1,0))</f>
        <v>87</v>
      </c>
      <c r="K89" s="85">
        <f>O88*'FNC-ORD_prospetto riassuntivo'!$B$28*Q89</f>
        <v>19.947921459166125</v>
      </c>
      <c r="L89" s="85">
        <f t="shared" si="7"/>
        <v>589.51584365617748</v>
      </c>
      <c r="M89" s="85">
        <f t="shared" si="8"/>
        <v>609.46376511534356</v>
      </c>
      <c r="N89" s="86">
        <f t="shared" si="9"/>
        <v>44605.139405906339</v>
      </c>
      <c r="O89" s="85">
        <f>('FNC-ORD_prospetto riassuntivo'!$B$11-N89)*Q89</f>
        <v>5394.8605940936613</v>
      </c>
      <c r="P89" s="85">
        <f>K89/(1+SUM('FNC-ORD_prospetto riassuntivo'!$B$29:$B$30)/'FNC-ORD_prospetto riassuntivo'!$B$24)^J89</f>
        <v>13.783007890900368</v>
      </c>
      <c r="Q89">
        <f>IF(J89=0,0,IF(OR(J89&lt;'FNC-ORD_prospetto riassuntivo'!$B$23+'FNC-ORD_prospetto riassuntivo'!$B$26,J89='FNC-ORD_prospetto riassuntivo'!$B$23+'FNC-ORD_prospetto riassuntivo'!$B$26),1,0))</f>
        <v>1</v>
      </c>
    </row>
    <row r="90" spans="10:17" x14ac:dyDescent="0.25">
      <c r="J90" s="84">
        <f>IF(J89=0,0,IF('FNC-ORD_prospetto riassuntivo'!$B$23+'FNC-ORD_prospetto riassuntivo'!$B$26&gt;J89,J89+1,0))</f>
        <v>88</v>
      </c>
      <c r="K90" s="85">
        <f>O89*'FNC-ORD_prospetto riassuntivo'!$B$28*Q90</f>
        <v>17.982868646978872</v>
      </c>
      <c r="L90" s="85">
        <f t="shared" si="7"/>
        <v>591.48089646836468</v>
      </c>
      <c r="M90" s="85">
        <f t="shared" si="8"/>
        <v>609.46376511534356</v>
      </c>
      <c r="N90" s="86">
        <f t="shared" si="9"/>
        <v>45196.6203023747</v>
      </c>
      <c r="O90" s="85">
        <f>('FNC-ORD_prospetto riassuntivo'!$B$11-N90)*Q90</f>
        <v>4803.3796976252997</v>
      </c>
      <c r="P90" s="85">
        <f>K90/(1+SUM('FNC-ORD_prospetto riassuntivo'!$B$29:$B$30)/'FNC-ORD_prospetto riassuntivo'!$B$24)^J90</f>
        <v>12.372568959048632</v>
      </c>
      <c r="Q90">
        <f>IF(J90=0,0,IF(OR(J90&lt;'FNC-ORD_prospetto riassuntivo'!$B$23+'FNC-ORD_prospetto riassuntivo'!$B$26,J90='FNC-ORD_prospetto riassuntivo'!$B$23+'FNC-ORD_prospetto riassuntivo'!$B$26),1,0))</f>
        <v>1</v>
      </c>
    </row>
    <row r="91" spans="10:17" x14ac:dyDescent="0.25">
      <c r="J91" s="84">
        <f>IF(J90=0,0,IF('FNC-ORD_prospetto riassuntivo'!$B$23+'FNC-ORD_prospetto riassuntivo'!$B$26&gt;J90,J90+1,0))</f>
        <v>89</v>
      </c>
      <c r="K91" s="85">
        <f>O90*'FNC-ORD_prospetto riassuntivo'!$B$28*Q91</f>
        <v>16.011265658751</v>
      </c>
      <c r="L91" s="85">
        <f t="shared" si="7"/>
        <v>593.45249945659259</v>
      </c>
      <c r="M91" s="85">
        <f t="shared" si="8"/>
        <v>609.46376511534356</v>
      </c>
      <c r="N91" s="86">
        <f t="shared" si="9"/>
        <v>45790.072801831295</v>
      </c>
      <c r="O91" s="85">
        <f>('FNC-ORD_prospetto riassuntivo'!$B$11-N91)*Q91</f>
        <v>4209.9271981687052</v>
      </c>
      <c r="P91" s="85">
        <f>K91/(1+SUM('FNC-ORD_prospetto riassuntivo'!$B$29:$B$30)/'FNC-ORD_prospetto riassuntivo'!$B$24)^J91</f>
        <v>10.969355971361878</v>
      </c>
      <c r="Q91">
        <f>IF(J91=0,0,IF(OR(J91&lt;'FNC-ORD_prospetto riassuntivo'!$B$23+'FNC-ORD_prospetto riassuntivo'!$B$26,J91='FNC-ORD_prospetto riassuntivo'!$B$23+'FNC-ORD_prospetto riassuntivo'!$B$26),1,0))</f>
        <v>1</v>
      </c>
    </row>
    <row r="92" spans="10:17" x14ac:dyDescent="0.25">
      <c r="J92" s="84">
        <f>IF(J91=0,0,IF('FNC-ORD_prospetto riassuntivo'!$B$23+'FNC-ORD_prospetto riassuntivo'!$B$26&gt;J91,J91+1,0))</f>
        <v>90</v>
      </c>
      <c r="K92" s="85">
        <f>O91*'FNC-ORD_prospetto riassuntivo'!$B$28*Q92</f>
        <v>14.033090660562351</v>
      </c>
      <c r="L92" s="85">
        <f t="shared" si="7"/>
        <v>595.43067445478118</v>
      </c>
      <c r="M92" s="85">
        <f t="shared" si="8"/>
        <v>609.46376511534356</v>
      </c>
      <c r="N92" s="86">
        <f t="shared" si="9"/>
        <v>46385.503476286074</v>
      </c>
      <c r="O92" s="85">
        <f>('FNC-ORD_prospetto riassuntivo'!$B$11-N92)*Q92</f>
        <v>3614.4965237139259</v>
      </c>
      <c r="P92" s="85">
        <f>K92/(1+SUM('FNC-ORD_prospetto riassuntivo'!$B$29:$B$30)/'FNC-ORD_prospetto riassuntivo'!$B$24)^J92</f>
        <v>9.5733371408251848</v>
      </c>
      <c r="Q92">
        <f>IF(J92=0,0,IF(OR(J92&lt;'FNC-ORD_prospetto riassuntivo'!$B$23+'FNC-ORD_prospetto riassuntivo'!$B$26,J92='FNC-ORD_prospetto riassuntivo'!$B$23+'FNC-ORD_prospetto riassuntivo'!$B$26),1,0))</f>
        <v>1</v>
      </c>
    </row>
    <row r="93" spans="10:17" x14ac:dyDescent="0.25">
      <c r="J93" s="84">
        <f>IF(J92=0,0,IF('FNC-ORD_prospetto riassuntivo'!$B$23+'FNC-ORD_prospetto riassuntivo'!$B$26&gt;J92,J92+1,0))</f>
        <v>91</v>
      </c>
      <c r="K93" s="85">
        <f>O92*'FNC-ORD_prospetto riassuntivo'!$B$28*Q93</f>
        <v>12.048321745713087</v>
      </c>
      <c r="L93" s="85">
        <f t="shared" si="7"/>
        <v>597.41544336963045</v>
      </c>
      <c r="M93" s="85">
        <f t="shared" si="8"/>
        <v>609.46376511534356</v>
      </c>
      <c r="N93" s="86">
        <f t="shared" si="9"/>
        <v>46982.918919655705</v>
      </c>
      <c r="O93" s="85">
        <f>('FNC-ORD_prospetto riassuntivo'!$B$11-N93)*Q93</f>
        <v>3017.0810803442946</v>
      </c>
      <c r="P93" s="85">
        <f>K93/(1+SUM('FNC-ORD_prospetto riassuntivo'!$B$29:$B$30)/'FNC-ORD_prospetto riassuntivo'!$B$24)^J93</f>
        <v>8.1844808162658982</v>
      </c>
      <c r="Q93">
        <f>IF(J93=0,0,IF(OR(J93&lt;'FNC-ORD_prospetto riassuntivo'!$B$23+'FNC-ORD_prospetto riassuntivo'!$B$26,J93='FNC-ORD_prospetto riassuntivo'!$B$23+'FNC-ORD_prospetto riassuntivo'!$B$26),1,0))</f>
        <v>1</v>
      </c>
    </row>
    <row r="94" spans="10:17" x14ac:dyDescent="0.25">
      <c r="J94" s="84">
        <f>IF(J93=0,0,IF('FNC-ORD_prospetto riassuntivo'!$B$23+'FNC-ORD_prospetto riassuntivo'!$B$26&gt;J93,J93+1,0))</f>
        <v>92</v>
      </c>
      <c r="K94" s="85">
        <f>O93*'FNC-ORD_prospetto riassuntivo'!$B$28*Q94</f>
        <v>10.056936934480982</v>
      </c>
      <c r="L94" s="85">
        <f t="shared" si="7"/>
        <v>599.40682818086259</v>
      </c>
      <c r="M94" s="85">
        <f t="shared" si="8"/>
        <v>609.46376511534356</v>
      </c>
      <c r="N94" s="86">
        <f t="shared" si="9"/>
        <v>47582.32574783657</v>
      </c>
      <c r="O94" s="85">
        <f>('FNC-ORD_prospetto riassuntivo'!$B$11-N94)*Q94</f>
        <v>2417.6742521634296</v>
      </c>
      <c r="P94" s="85">
        <f>K94/(1+SUM('FNC-ORD_prospetto riassuntivo'!$B$29:$B$30)/'FNC-ORD_prospetto riassuntivo'!$B$24)^J94</f>
        <v>6.8027554817765772</v>
      </c>
      <c r="Q94">
        <f>IF(J94=0,0,IF(OR(J94&lt;'FNC-ORD_prospetto riassuntivo'!$B$23+'FNC-ORD_prospetto riassuntivo'!$B$26,J94='FNC-ORD_prospetto riassuntivo'!$B$23+'FNC-ORD_prospetto riassuntivo'!$B$26),1,0))</f>
        <v>1</v>
      </c>
    </row>
    <row r="95" spans="10:17" x14ac:dyDescent="0.25">
      <c r="J95" s="84">
        <f>IF(J94=0,0,IF('FNC-ORD_prospetto riassuntivo'!$B$23+'FNC-ORD_prospetto riassuntivo'!$B$26&gt;J94,J94+1,0))</f>
        <v>93</v>
      </c>
      <c r="K95" s="85">
        <f>O94*'FNC-ORD_prospetto riassuntivo'!$B$28*Q95</f>
        <v>8.0589141738780992</v>
      </c>
      <c r="L95" s="85">
        <f t="shared" si="7"/>
        <v>601.4048509414655</v>
      </c>
      <c r="M95" s="85">
        <f t="shared" si="8"/>
        <v>609.46376511534356</v>
      </c>
      <c r="N95" s="86">
        <f t="shared" si="9"/>
        <v>48183.730598778035</v>
      </c>
      <c r="O95" s="85">
        <f>('FNC-ORD_prospetto riassuntivo'!$B$11-N95)*Q95</f>
        <v>1816.2694012219654</v>
      </c>
      <c r="P95" s="85">
        <f>K95/(1+SUM('FNC-ORD_prospetto riassuntivo'!$B$29:$B$30)/'FNC-ORD_prospetto riassuntivo'!$B$24)^J95</f>
        <v>5.4281297561405157</v>
      </c>
      <c r="Q95">
        <f>IF(J95=0,0,IF(OR(J95&lt;'FNC-ORD_prospetto riassuntivo'!$B$23+'FNC-ORD_prospetto riassuntivo'!$B$26,J95='FNC-ORD_prospetto riassuntivo'!$B$23+'FNC-ORD_prospetto riassuntivo'!$B$26),1,0))</f>
        <v>1</v>
      </c>
    </row>
    <row r="96" spans="10:17" x14ac:dyDescent="0.25">
      <c r="J96" s="84">
        <f>IF(J95=0,0,IF('FNC-ORD_prospetto riassuntivo'!$B$23+'FNC-ORD_prospetto riassuntivo'!$B$26&gt;J95,J95+1,0))</f>
        <v>94</v>
      </c>
      <c r="K96" s="85">
        <f>O95*'FNC-ORD_prospetto riassuntivo'!$B$28*Q96</f>
        <v>6.0542313374065513</v>
      </c>
      <c r="L96" s="85">
        <f t="shared" si="7"/>
        <v>603.40953377793699</v>
      </c>
      <c r="M96" s="85">
        <f t="shared" si="8"/>
        <v>609.46376511534356</v>
      </c>
      <c r="N96" s="86">
        <f t="shared" si="9"/>
        <v>48787.140132555971</v>
      </c>
      <c r="O96" s="85">
        <f>('FNC-ORD_prospetto riassuntivo'!$B$11-N96)*Q96</f>
        <v>1212.8598674440291</v>
      </c>
      <c r="P96" s="85">
        <f>K96/(1+SUM('FNC-ORD_prospetto riassuntivo'!$B$29:$B$30)/'FNC-ORD_prospetto riassuntivo'!$B$24)^J96</f>
        <v>4.0605723922596235</v>
      </c>
      <c r="Q96">
        <f>IF(J96=0,0,IF(OR(J96&lt;'FNC-ORD_prospetto riassuntivo'!$B$23+'FNC-ORD_prospetto riassuntivo'!$B$26,J96='FNC-ORD_prospetto riassuntivo'!$B$23+'FNC-ORD_prospetto riassuntivo'!$B$26),1,0))</f>
        <v>1</v>
      </c>
    </row>
    <row r="97" spans="10:17" x14ac:dyDescent="0.25">
      <c r="J97" s="84">
        <f>IF(J96=0,0,IF('FNC-ORD_prospetto riassuntivo'!$B$23+'FNC-ORD_prospetto riassuntivo'!$B$26&gt;J96,J96+1,0))</f>
        <v>95</v>
      </c>
      <c r="K97" s="85">
        <f>O96*'FNC-ORD_prospetto riassuntivo'!$B$28*Q97</f>
        <v>4.0428662248134302</v>
      </c>
      <c r="L97" s="85">
        <f t="shared" si="7"/>
        <v>605.42089889053011</v>
      </c>
      <c r="M97" s="85">
        <f t="shared" si="8"/>
        <v>609.46376511534356</v>
      </c>
      <c r="N97" s="86">
        <f t="shared" si="9"/>
        <v>49392.561031446501</v>
      </c>
      <c r="O97" s="85">
        <f>('FNC-ORD_prospetto riassuntivo'!$B$11-N97)*Q97</f>
        <v>607.43896855349885</v>
      </c>
      <c r="P97" s="85">
        <f>K97/(1+SUM('FNC-ORD_prospetto riassuntivo'!$B$29:$B$30)/'FNC-ORD_prospetto riassuntivo'!$B$24)^J97</f>
        <v>2.7000522765847399</v>
      </c>
      <c r="Q97">
        <f>IF(J97=0,0,IF(OR(J97&lt;'FNC-ORD_prospetto riassuntivo'!$B$23+'FNC-ORD_prospetto riassuntivo'!$B$26,J97='FNC-ORD_prospetto riassuntivo'!$B$23+'FNC-ORD_prospetto riassuntivo'!$B$26),1,0))</f>
        <v>1</v>
      </c>
    </row>
    <row r="98" spans="10:17" x14ac:dyDescent="0.25">
      <c r="J98" s="84">
        <f>IF(J97=0,0,IF('FNC-ORD_prospetto riassuntivo'!$B$23+'FNC-ORD_prospetto riassuntivo'!$B$26&gt;J97,J97+1,0))</f>
        <v>96</v>
      </c>
      <c r="K98" s="85">
        <f>O97*'FNC-ORD_prospetto riassuntivo'!$B$28*Q98</f>
        <v>2.0247965618449961</v>
      </c>
      <c r="L98" s="85">
        <f t="shared" si="7"/>
        <v>607.43896855349851</v>
      </c>
      <c r="M98" s="85">
        <f t="shared" si="8"/>
        <v>609.46376511534356</v>
      </c>
      <c r="N98" s="86">
        <f t="shared" si="9"/>
        <v>50000</v>
      </c>
      <c r="O98" s="85">
        <f>('FNC-ORD_prospetto riassuntivo'!$B$11-N98)*Q98</f>
        <v>0</v>
      </c>
      <c r="P98" s="85">
        <f>K98/(1+SUM('FNC-ORD_prospetto riassuntivo'!$B$29:$B$30)/'FNC-ORD_prospetto riassuntivo'!$B$24)^J98</f>
        <v>1.3465384285484037</v>
      </c>
      <c r="Q98">
        <f>IF(J98=0,0,IF(OR(J98&lt;'FNC-ORD_prospetto riassuntivo'!$B$23+'FNC-ORD_prospetto riassuntivo'!$B$26,J98='FNC-ORD_prospetto riassuntivo'!$B$23+'FNC-ORD_prospetto riassuntivo'!$B$26),1,0))</f>
        <v>1</v>
      </c>
    </row>
  </sheetData>
  <sheetProtection algorithmName="SHA-512" hashValue="BrwuKiKoF9ysC5rMKeeUTcazmLRITvaMx10MVqefleBP/+WflKjMWgGXi11DDa2XXLHhwky3omg8Nn+TYKsCAw==" saltValue="98k/oxqTzoDG0tUhm9oQFw==" spinCount="100000" sheet="1" objects="1" scenarios="1"/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12" sqref="B12"/>
    </sheetView>
  </sheetViews>
  <sheetFormatPr defaultRowHeight="13.5" x14ac:dyDescent="0.25"/>
  <cols>
    <col min="1" max="1" width="38.28515625" bestFit="1" customWidth="1"/>
    <col min="2" max="2" width="19" bestFit="1" customWidth="1"/>
    <col min="3" max="3" width="11.140625" bestFit="1" customWidth="1"/>
    <col min="4" max="4" width="15.7109375" bestFit="1" customWidth="1"/>
    <col min="5" max="5" width="12.140625" bestFit="1" customWidth="1"/>
  </cols>
  <sheetData>
    <row r="1" spans="1:8" ht="21.75" thickTop="1" thickBot="1" x14ac:dyDescent="0.35">
      <c r="A1" s="38"/>
      <c r="B1" s="39"/>
      <c r="C1" s="40" t="s">
        <v>30</v>
      </c>
      <c r="D1" s="64">
        <f>B85</f>
        <v>2537.0749439104407</v>
      </c>
      <c r="E1" s="41"/>
      <c r="F1" s="41"/>
      <c r="G1" s="42"/>
      <c r="H1" s="42"/>
    </row>
    <row r="2" spans="1:8" ht="14.25" thickTop="1" x14ac:dyDescent="0.25">
      <c r="A2" s="43"/>
      <c r="B2" s="44"/>
      <c r="C2" s="44"/>
      <c r="D2" s="44"/>
      <c r="E2" s="44"/>
      <c r="F2" s="41"/>
      <c r="G2" s="42"/>
      <c r="H2" s="42"/>
    </row>
    <row r="3" spans="1:8" x14ac:dyDescent="0.25">
      <c r="A3" s="45"/>
      <c r="B3" s="41"/>
      <c r="C3" s="41"/>
      <c r="D3" s="41"/>
      <c r="E3" s="41"/>
      <c r="F3" s="41"/>
      <c r="G3" s="42"/>
      <c r="H3" s="42"/>
    </row>
    <row r="4" spans="1:8" x14ac:dyDescent="0.25">
      <c r="A4" s="46" t="s">
        <v>31</v>
      </c>
      <c r="B4" s="75">
        <f>'FNC-ORD_prospetto riassuntivo'!B35</f>
        <v>1.9300000000000001E-2</v>
      </c>
      <c r="C4" s="42"/>
      <c r="D4" s="42"/>
      <c r="E4" s="42"/>
      <c r="F4" s="47"/>
      <c r="G4" s="42"/>
      <c r="H4" s="42"/>
    </row>
    <row r="5" spans="1:8" x14ac:dyDescent="0.25">
      <c r="A5" s="46" t="s">
        <v>32</v>
      </c>
      <c r="B5" s="80">
        <v>6.0000000000000001E-3</v>
      </c>
      <c r="C5" s="42"/>
      <c r="D5" s="42"/>
      <c r="E5" s="42"/>
      <c r="F5" s="42"/>
      <c r="G5" s="42"/>
      <c r="H5" s="42"/>
    </row>
    <row r="6" spans="1:8" x14ac:dyDescent="0.25">
      <c r="A6" s="46" t="s">
        <v>33</v>
      </c>
      <c r="B6" s="80">
        <v>3.2000000000000002E-3</v>
      </c>
      <c r="C6" s="42"/>
      <c r="D6" s="48"/>
      <c r="E6" s="42"/>
      <c r="F6" s="42"/>
      <c r="G6" s="42"/>
      <c r="H6" s="42"/>
    </row>
    <row r="7" spans="1:8" x14ac:dyDescent="0.25">
      <c r="A7" s="46" t="s">
        <v>34</v>
      </c>
      <c r="B7" s="76">
        <v>0</v>
      </c>
      <c r="C7" s="42"/>
      <c r="D7" s="48"/>
      <c r="E7" s="42"/>
      <c r="F7" s="42"/>
      <c r="G7" s="42"/>
      <c r="H7" s="42"/>
    </row>
    <row r="8" spans="1:8" x14ac:dyDescent="0.25">
      <c r="A8" s="46" t="s">
        <v>35</v>
      </c>
      <c r="B8" s="77">
        <f>'FNC-ORD_prospetto riassuntivo'!B11</f>
        <v>50000</v>
      </c>
      <c r="C8" s="42"/>
      <c r="D8" s="42"/>
      <c r="E8" s="49"/>
      <c r="F8" s="42"/>
      <c r="G8" s="42"/>
      <c r="H8" s="42"/>
    </row>
    <row r="9" spans="1:8" x14ac:dyDescent="0.25">
      <c r="A9" s="46" t="s">
        <v>36</v>
      </c>
      <c r="B9" s="75">
        <f>IF('FNC-ORD_prospetto riassuntivo'!B18="NO",70%*'FNC-ORD_prospetto riassuntivo'!B12,10%*'FNC-ORD_prospetto riassuntivo'!B12)</f>
        <v>0.42</v>
      </c>
      <c r="C9" s="42"/>
      <c r="D9" s="42"/>
      <c r="E9" s="42"/>
      <c r="F9" s="42"/>
      <c r="G9" s="42"/>
      <c r="H9" s="42"/>
    </row>
    <row r="10" spans="1:8" x14ac:dyDescent="0.25">
      <c r="A10" s="46" t="s">
        <v>37</v>
      </c>
      <c r="B10" s="81">
        <f>+B8*B9</f>
        <v>21000</v>
      </c>
      <c r="C10" s="42"/>
      <c r="D10" s="42"/>
      <c r="E10" s="42"/>
      <c r="F10" s="42"/>
      <c r="G10" s="42"/>
      <c r="H10" s="42"/>
    </row>
    <row r="11" spans="1:8" x14ac:dyDescent="0.25">
      <c r="A11" s="46" t="s">
        <v>38</v>
      </c>
      <c r="B11" s="78">
        <f>ROUNDUP('FNC-ORD_prospetto riassuntivo'!B16/12,0)</f>
        <v>8</v>
      </c>
      <c r="C11" s="42"/>
      <c r="D11" s="42"/>
      <c r="E11" s="42"/>
      <c r="F11" s="42"/>
      <c r="G11" s="42"/>
      <c r="H11" s="42"/>
    </row>
    <row r="12" spans="1:8" x14ac:dyDescent="0.25">
      <c r="A12" s="46" t="s">
        <v>39</v>
      </c>
      <c r="B12" s="79">
        <f>'FNC-ORD_prospetto riassuntivo'!B29+1%</f>
        <v>5.11E-2</v>
      </c>
      <c r="C12" s="42"/>
      <c r="D12" s="42"/>
      <c r="E12" s="42"/>
      <c r="F12" s="42"/>
      <c r="G12" s="42"/>
      <c r="H12" s="42"/>
    </row>
    <row r="13" spans="1:8" x14ac:dyDescent="0.25">
      <c r="A13" s="46"/>
      <c r="B13" s="42"/>
      <c r="C13" s="42"/>
      <c r="D13" s="42"/>
      <c r="E13" s="42"/>
      <c r="F13" s="42"/>
      <c r="G13" s="42"/>
      <c r="H13" s="42"/>
    </row>
    <row r="14" spans="1:8" x14ac:dyDescent="0.25">
      <c r="A14" s="50" t="s">
        <v>40</v>
      </c>
      <c r="B14" s="51">
        <f>-PMT(B12,B11,B8)</f>
        <v>7770.5265284688448</v>
      </c>
      <c r="C14" s="41"/>
      <c r="D14" s="52"/>
      <c r="E14" s="41"/>
      <c r="F14" s="41"/>
      <c r="G14" s="42"/>
      <c r="H14" s="42"/>
    </row>
    <row r="15" spans="1:8" x14ac:dyDescent="0.25">
      <c r="A15" s="50" t="s">
        <v>41</v>
      </c>
      <c r="B15" s="46" t="s">
        <v>42</v>
      </c>
      <c r="C15" s="53" t="s">
        <v>43</v>
      </c>
      <c r="D15" s="54" t="s">
        <v>44</v>
      </c>
      <c r="E15" s="41" t="s">
        <v>45</v>
      </c>
      <c r="F15" s="42"/>
      <c r="G15" s="42"/>
      <c r="H15" s="42"/>
    </row>
    <row r="16" spans="1:8" x14ac:dyDescent="0.25">
      <c r="A16" s="46">
        <v>1</v>
      </c>
      <c r="B16" s="55">
        <f>B8</f>
        <v>50000</v>
      </c>
      <c r="C16" s="49">
        <f t="shared" ref="C16:C45" si="0">B$12*B16</f>
        <v>2555</v>
      </c>
      <c r="D16" s="56">
        <f t="shared" ref="D16:D45" si="1">E16-C16</f>
        <v>5215.5265284688448</v>
      </c>
      <c r="E16" s="57">
        <f t="shared" ref="E16:E45" si="2">IF(B$11&gt;=A16,B$14,IF(B$11&lt;A16,0))</f>
        <v>7770.5265284688448</v>
      </c>
      <c r="F16" s="42"/>
      <c r="G16" s="57"/>
      <c r="H16" s="42"/>
    </row>
    <row r="17" spans="1:8" x14ac:dyDescent="0.25">
      <c r="A17" s="46">
        <v>2</v>
      </c>
      <c r="B17" s="55">
        <f t="shared" ref="B17:B46" si="3">B16-D16</f>
        <v>44784.473471531157</v>
      </c>
      <c r="C17" s="49">
        <f t="shared" si="0"/>
        <v>2288.4865943952423</v>
      </c>
      <c r="D17" s="56">
        <f t="shared" si="1"/>
        <v>5482.0399340736021</v>
      </c>
      <c r="E17" s="57">
        <f t="shared" si="2"/>
        <v>7770.5265284688448</v>
      </c>
      <c r="F17" s="42"/>
      <c r="G17" s="57"/>
      <c r="H17" s="42"/>
    </row>
    <row r="18" spans="1:8" x14ac:dyDescent="0.25">
      <c r="A18" s="46">
        <v>3</v>
      </c>
      <c r="B18" s="55">
        <f t="shared" si="3"/>
        <v>39302.433537457553</v>
      </c>
      <c r="C18" s="49">
        <f t="shared" si="0"/>
        <v>2008.354353764081</v>
      </c>
      <c r="D18" s="56">
        <f t="shared" si="1"/>
        <v>5762.1721747047641</v>
      </c>
      <c r="E18" s="57">
        <f t="shared" si="2"/>
        <v>7770.5265284688448</v>
      </c>
      <c r="F18" s="42"/>
      <c r="G18" s="57"/>
      <c r="H18" s="42"/>
    </row>
    <row r="19" spans="1:8" x14ac:dyDescent="0.25">
      <c r="A19" s="46">
        <v>4</v>
      </c>
      <c r="B19" s="55">
        <f t="shared" si="3"/>
        <v>33540.26136275279</v>
      </c>
      <c r="C19" s="49">
        <f t="shared" si="0"/>
        <v>1713.9073556366675</v>
      </c>
      <c r="D19" s="56">
        <f t="shared" si="1"/>
        <v>6056.6191728321774</v>
      </c>
      <c r="E19" s="57">
        <f t="shared" si="2"/>
        <v>7770.5265284688448</v>
      </c>
      <c r="F19" s="42"/>
      <c r="G19" s="57"/>
      <c r="H19" s="42"/>
    </row>
    <row r="20" spans="1:8" x14ac:dyDescent="0.25">
      <c r="A20" s="46">
        <v>5</v>
      </c>
      <c r="B20" s="55">
        <f t="shared" si="3"/>
        <v>27483.642189920611</v>
      </c>
      <c r="C20" s="49">
        <f t="shared" si="0"/>
        <v>1404.4141159049432</v>
      </c>
      <c r="D20" s="56">
        <f t="shared" si="1"/>
        <v>6366.1124125639017</v>
      </c>
      <c r="E20" s="57">
        <f t="shared" si="2"/>
        <v>7770.5265284688448</v>
      </c>
      <c r="F20" s="42"/>
      <c r="G20" s="57"/>
      <c r="H20" s="42"/>
    </row>
    <row r="21" spans="1:8" x14ac:dyDescent="0.25">
      <c r="A21" s="46">
        <v>6</v>
      </c>
      <c r="B21" s="55">
        <f t="shared" si="3"/>
        <v>21117.529777356707</v>
      </c>
      <c r="C21" s="49">
        <f t="shared" si="0"/>
        <v>1079.1057716229277</v>
      </c>
      <c r="D21" s="56">
        <f t="shared" si="1"/>
        <v>6691.4207568459169</v>
      </c>
      <c r="E21" s="57">
        <f t="shared" si="2"/>
        <v>7770.5265284688448</v>
      </c>
      <c r="F21" s="42"/>
      <c r="G21" s="57"/>
      <c r="H21" s="42"/>
    </row>
    <row r="22" spans="1:8" x14ac:dyDescent="0.25">
      <c r="A22" s="46">
        <v>7</v>
      </c>
      <c r="B22" s="55">
        <f t="shared" si="3"/>
        <v>14426.10902051079</v>
      </c>
      <c r="C22" s="49">
        <f t="shared" si="0"/>
        <v>737.17417094810139</v>
      </c>
      <c r="D22" s="56">
        <f t="shared" si="1"/>
        <v>7033.3523575207437</v>
      </c>
      <c r="E22" s="57">
        <f t="shared" si="2"/>
        <v>7770.5265284688448</v>
      </c>
      <c r="F22" s="57"/>
      <c r="G22" s="42"/>
      <c r="H22" s="42"/>
    </row>
    <row r="23" spans="1:8" x14ac:dyDescent="0.25">
      <c r="A23" s="46">
        <v>8</v>
      </c>
      <c r="B23" s="55">
        <f t="shared" si="3"/>
        <v>7392.7566629900466</v>
      </c>
      <c r="C23" s="49">
        <f t="shared" si="0"/>
        <v>377.76986547879136</v>
      </c>
      <c r="D23" s="56">
        <f t="shared" si="1"/>
        <v>7392.7566629900539</v>
      </c>
      <c r="E23" s="57">
        <f t="shared" si="2"/>
        <v>7770.5265284688448</v>
      </c>
      <c r="F23" s="42"/>
      <c r="G23" s="42"/>
      <c r="H23" s="42"/>
    </row>
    <row r="24" spans="1:8" x14ac:dyDescent="0.25">
      <c r="A24" s="46">
        <v>9</v>
      </c>
      <c r="B24" s="55">
        <f t="shared" si="3"/>
        <v>-7.2759576141834259E-12</v>
      </c>
      <c r="C24" s="49">
        <f t="shared" si="0"/>
        <v>-3.7180143408477306E-13</v>
      </c>
      <c r="D24" s="56">
        <f t="shared" si="1"/>
        <v>3.7180143408477306E-13</v>
      </c>
      <c r="E24" s="57">
        <f t="shared" si="2"/>
        <v>0</v>
      </c>
      <c r="F24" s="42"/>
      <c r="G24" s="42"/>
      <c r="H24" s="42"/>
    </row>
    <row r="25" spans="1:8" x14ac:dyDescent="0.25">
      <c r="A25" s="46">
        <v>10</v>
      </c>
      <c r="B25" s="55">
        <f t="shared" si="3"/>
        <v>-7.6477590482681984E-12</v>
      </c>
      <c r="C25" s="49">
        <f t="shared" si="0"/>
        <v>-3.9080048736650493E-13</v>
      </c>
      <c r="D25" s="56">
        <f t="shared" si="1"/>
        <v>3.9080048736650493E-13</v>
      </c>
      <c r="E25" s="57">
        <f t="shared" si="2"/>
        <v>0</v>
      </c>
      <c r="F25" s="42"/>
      <c r="G25" s="42"/>
      <c r="H25" s="42"/>
    </row>
    <row r="26" spans="1:8" x14ac:dyDescent="0.25">
      <c r="A26" s="46">
        <v>11</v>
      </c>
      <c r="B26" s="55">
        <f t="shared" si="3"/>
        <v>-8.0385595356347026E-12</v>
      </c>
      <c r="C26" s="49">
        <f t="shared" si="0"/>
        <v>-4.1077039227093331E-13</v>
      </c>
      <c r="D26" s="56">
        <f t="shared" si="1"/>
        <v>4.1077039227093331E-13</v>
      </c>
      <c r="E26" s="57">
        <f t="shared" si="2"/>
        <v>0</v>
      </c>
      <c r="F26" s="42"/>
      <c r="G26" s="42"/>
      <c r="H26" s="42"/>
    </row>
    <row r="27" spans="1:8" x14ac:dyDescent="0.25">
      <c r="A27" s="46">
        <v>12</v>
      </c>
      <c r="B27" s="55">
        <f t="shared" si="3"/>
        <v>-8.4493299279056357E-12</v>
      </c>
      <c r="C27" s="49">
        <f t="shared" si="0"/>
        <v>-4.3176075931597796E-13</v>
      </c>
      <c r="D27" s="56">
        <f t="shared" si="1"/>
        <v>4.3176075931597796E-13</v>
      </c>
      <c r="E27" s="57">
        <f t="shared" si="2"/>
        <v>0</v>
      </c>
      <c r="F27" s="42"/>
      <c r="G27" s="42"/>
      <c r="H27" s="42"/>
    </row>
    <row r="28" spans="1:8" x14ac:dyDescent="0.25">
      <c r="A28" s="46">
        <v>13</v>
      </c>
      <c r="B28" s="55">
        <f t="shared" si="3"/>
        <v>-8.8810906872216142E-12</v>
      </c>
      <c r="C28" s="49">
        <f t="shared" si="0"/>
        <v>-4.5382373411702447E-13</v>
      </c>
      <c r="D28" s="56">
        <f t="shared" si="1"/>
        <v>4.5382373411702447E-13</v>
      </c>
      <c r="E28" s="57">
        <f t="shared" si="2"/>
        <v>0</v>
      </c>
      <c r="F28" s="42"/>
      <c r="G28" s="42"/>
      <c r="H28" s="42"/>
    </row>
    <row r="29" spans="1:8" x14ac:dyDescent="0.25">
      <c r="A29" s="46">
        <v>14</v>
      </c>
      <c r="B29" s="55">
        <f t="shared" si="3"/>
        <v>-9.3349144213386393E-12</v>
      </c>
      <c r="C29" s="49">
        <f t="shared" si="0"/>
        <v>-4.7701412693040444E-13</v>
      </c>
      <c r="D29" s="56">
        <f t="shared" si="1"/>
        <v>4.7701412693040444E-13</v>
      </c>
      <c r="E29" s="57">
        <f t="shared" si="2"/>
        <v>0</v>
      </c>
      <c r="F29" s="56"/>
      <c r="G29" s="42"/>
      <c r="H29" s="42"/>
    </row>
    <row r="30" spans="1:8" x14ac:dyDescent="0.25">
      <c r="A30" s="46">
        <v>15</v>
      </c>
      <c r="B30" s="55">
        <f t="shared" si="3"/>
        <v>-9.8119285482690435E-12</v>
      </c>
      <c r="C30" s="49">
        <f t="shared" si="0"/>
        <v>-5.0138954881654808E-13</v>
      </c>
      <c r="D30" s="56">
        <f t="shared" si="1"/>
        <v>5.0138954881654808E-13</v>
      </c>
      <c r="E30" s="57">
        <f t="shared" si="2"/>
        <v>0</v>
      </c>
      <c r="F30" s="42"/>
      <c r="G30" s="42"/>
      <c r="H30" s="42"/>
    </row>
    <row r="31" spans="1:8" x14ac:dyDescent="0.25">
      <c r="A31" s="46">
        <v>16</v>
      </c>
      <c r="B31" s="55">
        <f t="shared" si="3"/>
        <v>-1.0313318097085591E-11</v>
      </c>
      <c r="C31" s="49">
        <f t="shared" si="0"/>
        <v>-5.270105547610737E-13</v>
      </c>
      <c r="D31" s="56">
        <f t="shared" si="1"/>
        <v>5.270105547610737E-13</v>
      </c>
      <c r="E31" s="57">
        <f t="shared" si="2"/>
        <v>0</v>
      </c>
      <c r="F31" s="42"/>
      <c r="G31" s="42"/>
      <c r="H31" s="42"/>
    </row>
    <row r="32" spans="1:8" x14ac:dyDescent="0.25">
      <c r="A32" s="46">
        <v>17</v>
      </c>
      <c r="B32" s="55">
        <f t="shared" si="3"/>
        <v>-1.0840328651846665E-11</v>
      </c>
      <c r="C32" s="49">
        <f t="shared" si="0"/>
        <v>-5.5394079410936455E-13</v>
      </c>
      <c r="D32" s="56">
        <f t="shared" si="1"/>
        <v>5.5394079410936455E-13</v>
      </c>
      <c r="E32" s="57">
        <f t="shared" si="2"/>
        <v>0</v>
      </c>
      <c r="F32" s="42"/>
      <c r="G32" s="42"/>
      <c r="H32" s="58"/>
    </row>
    <row r="33" spans="1:8" x14ac:dyDescent="0.25">
      <c r="A33" s="46">
        <v>18</v>
      </c>
      <c r="B33" s="55">
        <f t="shared" si="3"/>
        <v>-1.139426944595603E-11</v>
      </c>
      <c r="C33" s="49">
        <f t="shared" si="0"/>
        <v>-5.8224716868835308E-13</v>
      </c>
      <c r="D33" s="56">
        <f t="shared" si="1"/>
        <v>5.8224716868835308E-13</v>
      </c>
      <c r="E33" s="57">
        <f t="shared" si="2"/>
        <v>0</v>
      </c>
      <c r="F33" s="42"/>
      <c r="G33" s="42"/>
      <c r="H33" s="42"/>
    </row>
    <row r="34" spans="1:8" x14ac:dyDescent="0.25">
      <c r="A34" s="46">
        <v>19</v>
      </c>
      <c r="B34" s="55">
        <f t="shared" si="3"/>
        <v>-1.1976516614644384E-11</v>
      </c>
      <c r="C34" s="49">
        <f t="shared" si="0"/>
        <v>-6.11999999008328E-13</v>
      </c>
      <c r="D34" s="56">
        <f t="shared" si="1"/>
        <v>6.11999999008328E-13</v>
      </c>
      <c r="E34" s="57">
        <f t="shared" si="2"/>
        <v>0</v>
      </c>
      <c r="F34" s="42"/>
      <c r="G34" s="42"/>
      <c r="H34" s="42"/>
    </row>
    <row r="35" spans="1:8" x14ac:dyDescent="0.25">
      <c r="A35" s="46">
        <v>20</v>
      </c>
      <c r="B35" s="55">
        <f t="shared" si="3"/>
        <v>-1.2588516613652712E-11</v>
      </c>
      <c r="C35" s="49">
        <f t="shared" si="0"/>
        <v>-6.4327319895765355E-13</v>
      </c>
      <c r="D35" s="56">
        <f t="shared" si="1"/>
        <v>6.4327319895765355E-13</v>
      </c>
      <c r="E35" s="57">
        <f t="shared" si="2"/>
        <v>0</v>
      </c>
      <c r="F35" s="42"/>
      <c r="G35" s="42"/>
      <c r="H35" s="42"/>
    </row>
    <row r="36" spans="1:8" x14ac:dyDescent="0.25">
      <c r="A36" s="46">
        <v>21</v>
      </c>
      <c r="B36" s="55">
        <f t="shared" si="3"/>
        <v>-1.3231789812610365E-11</v>
      </c>
      <c r="C36" s="49">
        <f t="shared" si="0"/>
        <v>-6.7614445942438964E-13</v>
      </c>
      <c r="D36" s="56">
        <f t="shared" si="1"/>
        <v>6.7614445942438964E-13</v>
      </c>
      <c r="E36" s="57">
        <f t="shared" si="2"/>
        <v>0</v>
      </c>
      <c r="F36" s="42"/>
      <c r="G36" s="42"/>
      <c r="H36" s="42"/>
    </row>
    <row r="37" spans="1:8" x14ac:dyDescent="0.25">
      <c r="A37" s="46">
        <v>22</v>
      </c>
      <c r="B37" s="55">
        <f t="shared" si="3"/>
        <v>-1.3907934272034756E-11</v>
      </c>
      <c r="C37" s="49">
        <f t="shared" si="0"/>
        <v>-7.1069544130097598E-13</v>
      </c>
      <c r="D37" s="56">
        <f t="shared" si="1"/>
        <v>7.1069544130097598E-13</v>
      </c>
      <c r="E37" s="57">
        <f t="shared" si="2"/>
        <v>0</v>
      </c>
      <c r="F37" s="42"/>
      <c r="G37" s="42"/>
      <c r="H37" s="42"/>
    </row>
    <row r="38" spans="1:8" x14ac:dyDescent="0.25">
      <c r="A38" s="46">
        <v>23</v>
      </c>
      <c r="B38" s="55">
        <f t="shared" si="3"/>
        <v>-1.4618629713335732E-11</v>
      </c>
      <c r="C38" s="49">
        <f t="shared" si="0"/>
        <v>-7.4701197835145594E-13</v>
      </c>
      <c r="D38" s="56">
        <f t="shared" si="1"/>
        <v>7.4701197835145594E-13</v>
      </c>
      <c r="E38" s="57">
        <f t="shared" si="2"/>
        <v>0</v>
      </c>
      <c r="F38" s="42"/>
      <c r="G38" s="42"/>
      <c r="H38" s="42"/>
    </row>
    <row r="39" spans="1:8" x14ac:dyDescent="0.25">
      <c r="A39" s="46">
        <v>24</v>
      </c>
      <c r="B39" s="55">
        <f t="shared" si="3"/>
        <v>-1.5365641691687189E-11</v>
      </c>
      <c r="C39" s="49">
        <f t="shared" si="0"/>
        <v>-7.8518429044521539E-13</v>
      </c>
      <c r="D39" s="56">
        <f t="shared" si="1"/>
        <v>7.8518429044521539E-13</v>
      </c>
      <c r="E39" s="57">
        <f t="shared" si="2"/>
        <v>0</v>
      </c>
      <c r="F39" s="42"/>
      <c r="G39" s="42"/>
      <c r="H39" s="42"/>
    </row>
    <row r="40" spans="1:8" x14ac:dyDescent="0.25">
      <c r="A40" s="46">
        <v>25</v>
      </c>
      <c r="B40" s="55">
        <f t="shared" si="3"/>
        <v>-1.6150825982132403E-11</v>
      </c>
      <c r="C40" s="49">
        <f t="shared" si="0"/>
        <v>-8.2530720768696585E-13</v>
      </c>
      <c r="D40" s="56">
        <f t="shared" si="1"/>
        <v>8.2530720768696585E-13</v>
      </c>
      <c r="E40" s="57">
        <f t="shared" si="2"/>
        <v>0</v>
      </c>
      <c r="F40" s="42"/>
      <c r="G40" s="42"/>
      <c r="H40" s="42"/>
    </row>
    <row r="41" spans="1:8" x14ac:dyDescent="0.25">
      <c r="A41" s="46">
        <v>26</v>
      </c>
      <c r="B41" s="55">
        <f t="shared" si="3"/>
        <v>-1.6976133189819371E-11</v>
      </c>
      <c r="C41" s="49">
        <f t="shared" si="0"/>
        <v>-8.6748040599976988E-13</v>
      </c>
      <c r="D41" s="56">
        <f t="shared" si="1"/>
        <v>8.6748040599976988E-13</v>
      </c>
      <c r="E41" s="57">
        <f t="shared" si="2"/>
        <v>0</v>
      </c>
      <c r="F41" s="42"/>
      <c r="G41" s="42"/>
      <c r="H41" s="42"/>
    </row>
    <row r="42" spans="1:8" x14ac:dyDescent="0.25">
      <c r="A42" s="46">
        <v>27</v>
      </c>
      <c r="B42" s="55">
        <f t="shared" si="3"/>
        <v>-1.784361359581914E-11</v>
      </c>
      <c r="C42" s="49">
        <f t="shared" si="0"/>
        <v>-9.1180865474635807E-13</v>
      </c>
      <c r="D42" s="56">
        <f t="shared" si="1"/>
        <v>9.1180865474635807E-13</v>
      </c>
      <c r="E42" s="57">
        <f t="shared" si="2"/>
        <v>0</v>
      </c>
      <c r="F42" s="42"/>
      <c r="G42" s="42"/>
      <c r="H42" s="42"/>
    </row>
    <row r="43" spans="1:8" x14ac:dyDescent="0.25">
      <c r="A43" s="46">
        <v>28</v>
      </c>
      <c r="B43" s="55">
        <f t="shared" si="3"/>
        <v>-1.8755422250565498E-11</v>
      </c>
      <c r="C43" s="49">
        <f t="shared" si="0"/>
        <v>-9.5840207700389696E-13</v>
      </c>
      <c r="D43" s="56">
        <f t="shared" si="1"/>
        <v>9.5840207700389696E-13</v>
      </c>
      <c r="E43" s="57">
        <f t="shared" si="2"/>
        <v>0</v>
      </c>
      <c r="F43" s="42"/>
      <c r="G43" s="42"/>
      <c r="H43" s="42"/>
    </row>
    <row r="44" spans="1:8" x14ac:dyDescent="0.25">
      <c r="A44" s="46">
        <v>29</v>
      </c>
      <c r="B44" s="55">
        <f t="shared" si="3"/>
        <v>-1.9713824327569396E-11</v>
      </c>
      <c r="C44" s="49">
        <f t="shared" si="0"/>
        <v>-1.0073764231387962E-12</v>
      </c>
      <c r="D44" s="56">
        <f t="shared" si="1"/>
        <v>1.0073764231387962E-12</v>
      </c>
      <c r="E44" s="57">
        <f t="shared" si="2"/>
        <v>0</v>
      </c>
      <c r="F44" s="42"/>
      <c r="G44" s="42"/>
      <c r="H44" s="42"/>
    </row>
    <row r="45" spans="1:8" x14ac:dyDescent="0.25">
      <c r="A45" s="46">
        <v>30</v>
      </c>
      <c r="B45" s="55">
        <f t="shared" si="3"/>
        <v>-2.0721200750708193E-11</v>
      </c>
      <c r="C45" s="49">
        <f t="shared" si="0"/>
        <v>-1.0588533583611887E-12</v>
      </c>
      <c r="D45" s="56">
        <f t="shared" si="1"/>
        <v>1.0588533583611887E-12</v>
      </c>
      <c r="E45" s="57">
        <f t="shared" si="2"/>
        <v>0</v>
      </c>
      <c r="F45" s="42"/>
      <c r="G45" s="42"/>
      <c r="H45" s="42"/>
    </row>
    <row r="46" spans="1:8" x14ac:dyDescent="0.25">
      <c r="A46" s="45"/>
      <c r="B46" s="55">
        <f t="shared" si="3"/>
        <v>-2.1780054109069383E-11</v>
      </c>
      <c r="C46" s="49"/>
      <c r="D46" s="56"/>
      <c r="E46" s="57"/>
      <c r="F46" s="42"/>
      <c r="G46" s="42"/>
      <c r="H46" s="42"/>
    </row>
    <row r="47" spans="1:8" x14ac:dyDescent="0.25">
      <c r="A47" s="45"/>
      <c r="B47" s="42"/>
      <c r="C47" s="42"/>
      <c r="D47" s="42"/>
      <c r="E47" s="42"/>
      <c r="F47" s="42"/>
      <c r="G47" s="42"/>
      <c r="H47" s="42"/>
    </row>
    <row r="48" spans="1:8" ht="14.25" x14ac:dyDescent="0.25">
      <c r="A48" s="50" t="s">
        <v>41</v>
      </c>
      <c r="B48" s="46" t="s">
        <v>46</v>
      </c>
      <c r="C48" s="42"/>
      <c r="D48" s="42"/>
      <c r="E48" s="42"/>
      <c r="F48" s="42"/>
      <c r="G48" s="42"/>
      <c r="H48" s="42"/>
    </row>
    <row r="49" spans="1:8" x14ac:dyDescent="0.25">
      <c r="A49" s="46">
        <v>1</v>
      </c>
      <c r="B49" s="59">
        <f t="shared" ref="B49:B79" si="4">B16*B$9*(B$4+B$5+B$6)</f>
        <v>598.50000000000011</v>
      </c>
      <c r="C49" s="42"/>
      <c r="D49" s="42"/>
      <c r="E49" s="42"/>
      <c r="F49" s="42"/>
      <c r="G49" s="42"/>
      <c r="H49" s="42"/>
    </row>
    <row r="50" spans="1:8" x14ac:dyDescent="0.25">
      <c r="A50" s="46">
        <v>2</v>
      </c>
      <c r="B50" s="59">
        <f t="shared" si="4"/>
        <v>536.07014745422805</v>
      </c>
      <c r="C50" s="42"/>
      <c r="D50" s="42"/>
      <c r="E50" s="42"/>
      <c r="F50" s="42"/>
      <c r="G50" s="42"/>
      <c r="H50" s="42"/>
    </row>
    <row r="51" spans="1:8" x14ac:dyDescent="0.25">
      <c r="A51" s="46">
        <v>3</v>
      </c>
      <c r="B51" s="59">
        <f t="shared" si="4"/>
        <v>470.45012944336702</v>
      </c>
      <c r="C51" s="50"/>
      <c r="D51" s="42"/>
      <c r="E51" s="42"/>
      <c r="F51" s="42"/>
      <c r="G51" s="42"/>
      <c r="H51" s="42"/>
    </row>
    <row r="52" spans="1:8" x14ac:dyDescent="0.25">
      <c r="A52" s="46">
        <v>4</v>
      </c>
      <c r="B52" s="59">
        <f t="shared" si="4"/>
        <v>401.47692851215095</v>
      </c>
      <c r="C52" s="42"/>
      <c r="D52" s="42"/>
      <c r="E52" s="42"/>
      <c r="F52" s="42"/>
      <c r="G52" s="42"/>
      <c r="H52" s="42"/>
    </row>
    <row r="53" spans="1:8" x14ac:dyDescent="0.25">
      <c r="A53" s="46">
        <v>5</v>
      </c>
      <c r="B53" s="59">
        <f t="shared" si="4"/>
        <v>328.97919701334973</v>
      </c>
      <c r="C53" s="42"/>
      <c r="D53" s="42"/>
      <c r="E53" s="42"/>
      <c r="F53" s="42"/>
      <c r="G53" s="42"/>
      <c r="H53" s="42"/>
    </row>
    <row r="54" spans="1:8" x14ac:dyDescent="0.25">
      <c r="A54" s="46">
        <v>6</v>
      </c>
      <c r="B54" s="59">
        <f t="shared" si="4"/>
        <v>252.77683143495983</v>
      </c>
      <c r="C54" s="42"/>
      <c r="D54" s="42"/>
      <c r="E54" s="42"/>
      <c r="F54" s="42"/>
      <c r="G54" s="42"/>
      <c r="H54" s="42"/>
    </row>
    <row r="55" spans="1:8" x14ac:dyDescent="0.25">
      <c r="A55" s="46">
        <v>7</v>
      </c>
      <c r="B55" s="59">
        <f t="shared" si="4"/>
        <v>172.68052497551417</v>
      </c>
      <c r="C55" s="42"/>
      <c r="D55" s="42"/>
      <c r="E55" s="42"/>
      <c r="F55" s="42"/>
      <c r="G55" s="42"/>
      <c r="H55" s="42"/>
    </row>
    <row r="56" spans="1:8" x14ac:dyDescent="0.25">
      <c r="A56" s="46">
        <v>8</v>
      </c>
      <c r="B56" s="59">
        <f t="shared" si="4"/>
        <v>88.491297255990872</v>
      </c>
      <c r="C56" s="42"/>
      <c r="D56" s="42"/>
      <c r="E56" s="42"/>
      <c r="F56" s="42"/>
      <c r="G56" s="42"/>
      <c r="H56" s="42"/>
    </row>
    <row r="57" spans="1:8" x14ac:dyDescent="0.25">
      <c r="A57" s="46">
        <v>9</v>
      </c>
      <c r="B57" s="59">
        <f t="shared" si="4"/>
        <v>-8.7093212641775619E-14</v>
      </c>
      <c r="C57" s="42"/>
      <c r="D57" s="42"/>
      <c r="E57" s="42"/>
      <c r="F57" s="42"/>
      <c r="G57" s="42"/>
      <c r="H57" s="42"/>
    </row>
    <row r="58" spans="1:8" x14ac:dyDescent="0.25">
      <c r="A58" s="46">
        <v>10</v>
      </c>
      <c r="B58" s="59">
        <f t="shared" si="4"/>
        <v>-9.1543675807770351E-14</v>
      </c>
      <c r="C58" s="42"/>
      <c r="D58" s="42"/>
      <c r="E58" s="42"/>
      <c r="F58" s="42"/>
      <c r="G58" s="42"/>
      <c r="H58" s="42"/>
    </row>
    <row r="59" spans="1:8" x14ac:dyDescent="0.25">
      <c r="A59" s="46">
        <v>11</v>
      </c>
      <c r="B59" s="59">
        <f t="shared" si="4"/>
        <v>-9.6221557641547401E-14</v>
      </c>
      <c r="C59" s="42"/>
      <c r="D59" s="42"/>
      <c r="E59" s="42"/>
      <c r="F59" s="42"/>
      <c r="G59" s="42"/>
      <c r="H59" s="42"/>
    </row>
    <row r="60" spans="1:8" x14ac:dyDescent="0.25">
      <c r="A60" s="46">
        <v>12</v>
      </c>
      <c r="B60" s="59">
        <f t="shared" si="4"/>
        <v>-1.0113847923703048E-13</v>
      </c>
      <c r="C60" s="42"/>
      <c r="D60" s="42"/>
      <c r="E60" s="42"/>
      <c r="F60" s="42"/>
      <c r="G60" s="42"/>
      <c r="H60" s="42"/>
    </row>
    <row r="61" spans="1:8" x14ac:dyDescent="0.25">
      <c r="A61" s="46">
        <v>13</v>
      </c>
      <c r="B61" s="59">
        <f t="shared" si="4"/>
        <v>-1.0630665552604274E-13</v>
      </c>
      <c r="C61" s="42"/>
      <c r="D61" s="42"/>
      <c r="E61" s="42"/>
      <c r="F61" s="42"/>
      <c r="G61" s="42"/>
      <c r="H61" s="42"/>
    </row>
    <row r="62" spans="1:8" x14ac:dyDescent="0.25">
      <c r="A62" s="46">
        <v>14</v>
      </c>
      <c r="B62" s="59">
        <f t="shared" si="4"/>
        <v>-1.1173892562342352E-13</v>
      </c>
      <c r="C62" s="42"/>
      <c r="D62" s="42"/>
      <c r="E62" s="42"/>
      <c r="F62" s="42"/>
      <c r="G62" s="42"/>
      <c r="H62" s="42"/>
    </row>
    <row r="63" spans="1:8" x14ac:dyDescent="0.25">
      <c r="A63" s="46">
        <v>15</v>
      </c>
      <c r="B63" s="59">
        <f t="shared" si="4"/>
        <v>-1.1744878472278047E-13</v>
      </c>
      <c r="C63" s="42"/>
      <c r="D63" s="42"/>
      <c r="E63" s="42"/>
      <c r="F63" s="42"/>
      <c r="G63" s="42"/>
      <c r="H63" s="42"/>
    </row>
    <row r="64" spans="1:8" x14ac:dyDescent="0.25">
      <c r="A64" s="46">
        <v>16</v>
      </c>
      <c r="B64" s="59">
        <f t="shared" si="4"/>
        <v>-1.2345041762211453E-13</v>
      </c>
      <c r="C64" s="42"/>
      <c r="D64" s="42"/>
      <c r="E64" s="42"/>
      <c r="F64" s="42"/>
      <c r="G64" s="42"/>
      <c r="H64" s="42"/>
    </row>
    <row r="65" spans="1:8" x14ac:dyDescent="0.25">
      <c r="A65" s="46">
        <v>17</v>
      </c>
      <c r="B65" s="59">
        <f t="shared" si="4"/>
        <v>-1.2975873396260459E-13</v>
      </c>
      <c r="C65" s="42"/>
      <c r="D65" s="42"/>
      <c r="E65" s="42"/>
      <c r="F65" s="42"/>
      <c r="G65" s="42"/>
      <c r="H65" s="42"/>
    </row>
    <row r="66" spans="1:8" x14ac:dyDescent="0.25">
      <c r="A66" s="46">
        <v>18</v>
      </c>
      <c r="B66" s="59">
        <f t="shared" si="4"/>
        <v>-1.363894052680937E-13</v>
      </c>
      <c r="C66" s="42"/>
      <c r="D66" s="42"/>
      <c r="E66" s="42"/>
      <c r="F66" s="42"/>
      <c r="G66" s="42"/>
      <c r="H66" s="42"/>
    </row>
    <row r="67" spans="1:8" x14ac:dyDescent="0.25">
      <c r="A67" s="46">
        <v>19</v>
      </c>
      <c r="B67" s="59">
        <f t="shared" si="4"/>
        <v>-1.4335890387729331E-13</v>
      </c>
      <c r="C67" s="42"/>
      <c r="D67" s="42"/>
      <c r="E67" s="42"/>
      <c r="F67" s="42"/>
      <c r="G67" s="42"/>
      <c r="H67" s="42"/>
    </row>
    <row r="68" spans="1:8" x14ac:dyDescent="0.25">
      <c r="A68" s="46">
        <v>20</v>
      </c>
      <c r="B68" s="59">
        <f t="shared" si="4"/>
        <v>-1.5068454386542299E-13</v>
      </c>
      <c r="C68" s="42"/>
      <c r="D68" s="42"/>
      <c r="E68" s="42"/>
      <c r="F68" s="42"/>
      <c r="G68" s="42"/>
      <c r="H68" s="42"/>
    </row>
    <row r="69" spans="1:8" x14ac:dyDescent="0.25">
      <c r="A69" s="46">
        <v>21</v>
      </c>
      <c r="B69" s="59">
        <f t="shared" si="4"/>
        <v>-1.5838452405694609E-13</v>
      </c>
      <c r="C69" s="42"/>
      <c r="D69" s="42"/>
      <c r="E69" s="42"/>
      <c r="F69" s="42"/>
      <c r="G69" s="42"/>
      <c r="H69" s="42"/>
    </row>
    <row r="70" spans="1:8" x14ac:dyDescent="0.25">
      <c r="A70" s="46">
        <v>22</v>
      </c>
      <c r="B70" s="59">
        <f t="shared" si="4"/>
        <v>-1.6647797323625603E-13</v>
      </c>
      <c r="C70" s="42"/>
      <c r="D70" s="42"/>
      <c r="E70" s="42"/>
      <c r="F70" s="42"/>
      <c r="G70" s="42"/>
      <c r="H70" s="42"/>
    </row>
    <row r="71" spans="1:8" x14ac:dyDescent="0.25">
      <c r="A71" s="46">
        <v>23</v>
      </c>
      <c r="B71" s="59">
        <f t="shared" si="4"/>
        <v>-1.7498499766862874E-13</v>
      </c>
      <c r="C71" s="42"/>
      <c r="D71" s="42"/>
      <c r="E71" s="42"/>
      <c r="F71" s="42"/>
      <c r="G71" s="42"/>
      <c r="H71" s="42"/>
    </row>
    <row r="72" spans="1:8" x14ac:dyDescent="0.25">
      <c r="A72" s="46">
        <v>24</v>
      </c>
      <c r="B72" s="59">
        <f t="shared" si="4"/>
        <v>-1.8392673104949568E-13</v>
      </c>
      <c r="C72" s="42"/>
      <c r="D72" s="42"/>
      <c r="E72" s="42"/>
      <c r="F72" s="42"/>
      <c r="G72" s="42"/>
      <c r="H72" s="42"/>
    </row>
    <row r="73" spans="1:8" x14ac:dyDescent="0.25">
      <c r="A73" s="46">
        <v>25</v>
      </c>
      <c r="B73" s="59">
        <f t="shared" si="4"/>
        <v>-1.9332538700612489E-13</v>
      </c>
      <c r="C73" s="42"/>
      <c r="D73" s="42"/>
      <c r="E73" s="42"/>
      <c r="F73" s="42"/>
      <c r="G73" s="42"/>
      <c r="H73" s="42"/>
    </row>
    <row r="74" spans="1:8" x14ac:dyDescent="0.25">
      <c r="A74" s="46">
        <v>26</v>
      </c>
      <c r="B74" s="59">
        <f t="shared" si="4"/>
        <v>-2.0320431428213788E-13</v>
      </c>
      <c r="C74" s="42"/>
      <c r="D74" s="42"/>
      <c r="E74" s="42"/>
      <c r="F74" s="42"/>
      <c r="G74" s="42"/>
      <c r="H74" s="42"/>
    </row>
    <row r="75" spans="1:8" x14ac:dyDescent="0.25">
      <c r="A75" s="46">
        <v>27</v>
      </c>
      <c r="B75" s="59">
        <f t="shared" si="4"/>
        <v>-2.1358805474195512E-13</v>
      </c>
      <c r="C75" s="42"/>
      <c r="D75" s="42"/>
      <c r="E75" s="42"/>
      <c r="F75" s="42"/>
      <c r="G75" s="42"/>
      <c r="H75" s="42"/>
    </row>
    <row r="76" spans="1:8" x14ac:dyDescent="0.25">
      <c r="A76" s="46">
        <v>28</v>
      </c>
      <c r="B76" s="59">
        <f t="shared" si="4"/>
        <v>-2.2450240433926903E-13</v>
      </c>
      <c r="C76" s="42"/>
      <c r="D76" s="42"/>
      <c r="E76" s="42"/>
      <c r="F76" s="42"/>
      <c r="G76" s="42"/>
      <c r="H76" s="42"/>
    </row>
    <row r="77" spans="1:8" x14ac:dyDescent="0.25">
      <c r="A77" s="46">
        <v>29</v>
      </c>
      <c r="B77" s="59">
        <f t="shared" si="4"/>
        <v>-2.359744772010057E-13</v>
      </c>
      <c r="C77" s="42"/>
      <c r="D77" s="42"/>
      <c r="E77" s="42"/>
      <c r="F77" s="42"/>
      <c r="G77" s="42"/>
      <c r="H77" s="42"/>
    </row>
    <row r="78" spans="1:8" x14ac:dyDescent="0.25">
      <c r="A78" s="46">
        <v>30</v>
      </c>
      <c r="B78" s="59">
        <f t="shared" si="4"/>
        <v>-2.4803277298597711E-13</v>
      </c>
      <c r="C78" s="42"/>
      <c r="D78" s="42"/>
      <c r="E78" s="42"/>
      <c r="F78" s="42"/>
      <c r="G78" s="42"/>
      <c r="H78" s="42"/>
    </row>
    <row r="79" spans="1:8" x14ac:dyDescent="0.25">
      <c r="A79" s="45"/>
      <c r="B79" s="59">
        <f t="shared" si="4"/>
        <v>-2.6070724768556055E-13</v>
      </c>
      <c r="C79" s="42"/>
      <c r="D79" s="42"/>
      <c r="E79" s="42"/>
      <c r="F79" s="42"/>
      <c r="G79" s="42"/>
      <c r="H79" s="42"/>
    </row>
    <row r="80" spans="1:8" x14ac:dyDescent="0.25">
      <c r="A80" s="45"/>
      <c r="B80" s="42"/>
      <c r="C80" s="42"/>
      <c r="D80" s="42"/>
      <c r="E80" s="42"/>
      <c r="F80" s="42"/>
      <c r="G80" s="42"/>
      <c r="H80" s="42"/>
    </row>
    <row r="81" spans="1:8" x14ac:dyDescent="0.25">
      <c r="A81" s="45"/>
      <c r="B81" s="42"/>
      <c r="C81" s="42"/>
      <c r="D81" s="42"/>
      <c r="E81" s="42"/>
      <c r="F81" s="42"/>
      <c r="G81" s="42"/>
      <c r="H81" s="42"/>
    </row>
    <row r="82" spans="1:8" ht="18" thickBot="1" x14ac:dyDescent="0.35">
      <c r="A82" s="60" t="s">
        <v>47</v>
      </c>
      <c r="B82" s="59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2537.0749439104407</v>
      </c>
      <c r="C82" s="42"/>
      <c r="D82" s="42"/>
      <c r="E82" s="42"/>
      <c r="F82" s="42"/>
      <c r="G82" s="42"/>
      <c r="H82" s="42"/>
    </row>
    <row r="83" spans="1:8" ht="14.25" thickBot="1" x14ac:dyDescent="0.3">
      <c r="A83" s="46" t="s">
        <v>48</v>
      </c>
      <c r="B83" s="61">
        <v>0</v>
      </c>
      <c r="C83" s="42"/>
      <c r="D83" s="42"/>
      <c r="E83" s="42"/>
      <c r="F83" s="42"/>
      <c r="G83" s="42"/>
      <c r="H83" s="42"/>
    </row>
    <row r="84" spans="1:8" x14ac:dyDescent="0.25">
      <c r="A84" s="45"/>
      <c r="B84" s="42"/>
      <c r="C84" s="42"/>
      <c r="D84" s="42"/>
      <c r="E84" s="42"/>
      <c r="F84" s="42"/>
      <c r="G84" s="42"/>
      <c r="H84" s="42"/>
    </row>
    <row r="85" spans="1:8" x14ac:dyDescent="0.25">
      <c r="A85" s="62" t="s">
        <v>49</v>
      </c>
      <c r="B85" s="63">
        <f>B82-B83</f>
        <v>2537.0749439104407</v>
      </c>
      <c r="C85" s="42"/>
      <c r="D85" s="42"/>
      <c r="E85" s="42"/>
      <c r="F85" s="42"/>
      <c r="G85" s="42"/>
      <c r="H85" s="42"/>
    </row>
  </sheetData>
  <sheetProtection algorithmName="SHA-512" hashValue="VvmcyzQpXr836MA29K5/3Z7E6XDZujmDUfbu+8aDED+t1on+sB0hv4oQkpLt9dT+s+VYSUU6ILmhhykAM9EcwQ==" saltValue="Nm6e2qB4tbDcP1l6DI952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5" x14ac:dyDescent="0.25"/>
  <cols>
    <col min="1" max="1" width="10.5703125" bestFit="1" customWidth="1"/>
  </cols>
  <sheetData>
    <row r="1" spans="1:1" x14ac:dyDescent="0.25">
      <c r="A1" t="s">
        <v>14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FNC-ORD_prospetto riassuntivo</vt:lpstr>
      <vt:lpstr>FNC-ORD_contributo interessi</vt:lpstr>
      <vt:lpstr>FNC-ORD_ESL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D'Erasmo Fabio</cp:lastModifiedBy>
  <dcterms:created xsi:type="dcterms:W3CDTF">2020-04-27T16:01:26Z</dcterms:created>
  <dcterms:modified xsi:type="dcterms:W3CDTF">2024-03-14T19:32:09Z</dcterms:modified>
</cp:coreProperties>
</file>