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0.1.101.241\rti-cfm\6 FNC_INVESTIMENTI\20250922_regolamento e allegati def\"/>
    </mc:Choice>
  </mc:AlternateContent>
  <xr:revisionPtr revIDLastSave="0" documentId="13_ncr:1_{EAF2DAEF-6BA0-4596-BAD6-DAD7991EC360}" xr6:coauthVersionLast="47" xr6:coauthVersionMax="47" xr10:uidLastSave="{00000000-0000-0000-0000-000000000000}"/>
  <bookViews>
    <workbookView xWindow="-108" yWindow="-108" windowWidth="23256" windowHeight="12456" tabRatio="847" xr2:uid="{00000000-000D-0000-FFFF-FFFF00000000}"/>
  </bookViews>
  <sheets>
    <sheet name="FNCINVLIQ_prospetto riassuntivo" sheetId="15" r:id="rId1"/>
    <sheet name="FNCINVLIQ_contributo interessi" sheetId="20" r:id="rId2"/>
    <sheet name="FNCINVLIQ_ESL riassicurazione" sheetId="21" r:id="rId3"/>
    <sheet name="Frequenza rate" sheetId="10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5" l="1"/>
  <c r="B22" i="15"/>
  <c r="B19" i="15"/>
  <c r="B13" i="15"/>
  <c r="C19" i="15" l="1"/>
  <c r="B28" i="15"/>
  <c r="B9" i="21"/>
  <c r="B14" i="15"/>
  <c r="B15" i="15" s="1"/>
  <c r="B16" i="15" s="1"/>
  <c r="B34" i="15" s="1"/>
  <c r="C18" i="15" l="1"/>
  <c r="B12" i="21" l="1"/>
  <c r="B11" i="21" l="1"/>
  <c r="B4" i="21" l="1"/>
  <c r="B8" i="21"/>
  <c r="B16" i="21" s="1"/>
  <c r="F14" i="20"/>
  <c r="F13" i="20"/>
  <c r="F12" i="20"/>
  <c r="F11" i="20"/>
  <c r="F10" i="20"/>
  <c r="F9" i="20"/>
  <c r="F8" i="20"/>
  <c r="F7" i="20"/>
  <c r="F6" i="20"/>
  <c r="F5" i="20"/>
  <c r="F4" i="20"/>
  <c r="F3" i="20"/>
  <c r="B10" i="21" l="1"/>
  <c r="B14" i="21"/>
  <c r="E17" i="21" s="1"/>
  <c r="E42" i="21"/>
  <c r="E24" i="21"/>
  <c r="E32" i="21"/>
  <c r="E40" i="21"/>
  <c r="E25" i="21"/>
  <c r="E33" i="21"/>
  <c r="E37" i="21"/>
  <c r="E45" i="21"/>
  <c r="E26" i="21"/>
  <c r="E30" i="21"/>
  <c r="E34" i="21"/>
  <c r="E38" i="21"/>
  <c r="E28" i="21"/>
  <c r="E36" i="21"/>
  <c r="E44" i="21"/>
  <c r="E29" i="21"/>
  <c r="E41" i="21"/>
  <c r="E27" i="21"/>
  <c r="E31" i="21"/>
  <c r="E35" i="21"/>
  <c r="E39" i="21"/>
  <c r="E43" i="21"/>
  <c r="B49" i="21"/>
  <c r="C16" i="21"/>
  <c r="E16" i="21" l="1"/>
  <c r="D16" i="21" s="1"/>
  <c r="B17" i="21" s="1"/>
  <c r="C17" i="21" s="1"/>
  <c r="D17" i="21" s="1"/>
  <c r="B18" i="21" s="1"/>
  <c r="E23" i="21"/>
  <c r="E22" i="21"/>
  <c r="E21" i="21"/>
  <c r="E20" i="21"/>
  <c r="E19" i="21"/>
  <c r="E18" i="21"/>
  <c r="B30" i="15"/>
  <c r="B50" i="21" l="1"/>
  <c r="B51" i="21"/>
  <c r="C18" i="21"/>
  <c r="D18" i="21" s="1"/>
  <c r="B19" i="21" s="1"/>
  <c r="C19" i="21" l="1"/>
  <c r="D19" i="21" s="1"/>
  <c r="B20" i="21" s="1"/>
  <c r="B52" i="21"/>
  <c r="B53" i="21" l="1"/>
  <c r="C20" i="21"/>
  <c r="D20" i="21" s="1"/>
  <c r="B21" i="21" s="1"/>
  <c r="B54" i="21" l="1"/>
  <c r="C21" i="21"/>
  <c r="D21" i="21" s="1"/>
  <c r="B22" i="21" s="1"/>
  <c r="B55" i="21" l="1"/>
  <c r="C22" i="21"/>
  <c r="D22" i="21" s="1"/>
  <c r="B23" i="21" s="1"/>
  <c r="C23" i="21" l="1"/>
  <c r="D23" i="21" s="1"/>
  <c r="B24" i="21" s="1"/>
  <c r="B56" i="21"/>
  <c r="B57" i="21" l="1"/>
  <c r="C24" i="21"/>
  <c r="D24" i="21" s="1"/>
  <c r="B25" i="21" s="1"/>
  <c r="B58" i="21" l="1"/>
  <c r="C25" i="21"/>
  <c r="D25" i="21" s="1"/>
  <c r="B26" i="21" s="1"/>
  <c r="B59" i="21" l="1"/>
  <c r="C26" i="21"/>
  <c r="D26" i="21" s="1"/>
  <c r="B27" i="21" s="1"/>
  <c r="C27" i="21" l="1"/>
  <c r="D27" i="21" s="1"/>
  <c r="B28" i="21" s="1"/>
  <c r="B60" i="21"/>
  <c r="B61" i="21" l="1"/>
  <c r="C28" i="21"/>
  <c r="D28" i="21" s="1"/>
  <c r="B29" i="21" s="1"/>
  <c r="B62" i="21" l="1"/>
  <c r="C29" i="21"/>
  <c r="D29" i="21" s="1"/>
  <c r="B30" i="21" s="1"/>
  <c r="B63" i="21" l="1"/>
  <c r="C30" i="21"/>
  <c r="D30" i="21" s="1"/>
  <c r="B31" i="21" s="1"/>
  <c r="C31" i="21" l="1"/>
  <c r="D31" i="21" s="1"/>
  <c r="B32" i="21" s="1"/>
  <c r="B64" i="21"/>
  <c r="B65" i="21" l="1"/>
  <c r="C32" i="21"/>
  <c r="D32" i="21" s="1"/>
  <c r="B33" i="21" s="1"/>
  <c r="B66" i="21" l="1"/>
  <c r="C33" i="21"/>
  <c r="D33" i="21" s="1"/>
  <c r="B34" i="21" s="1"/>
  <c r="B67" i="21" l="1"/>
  <c r="C34" i="21"/>
  <c r="D34" i="21" s="1"/>
  <c r="B35" i="21" s="1"/>
  <c r="C35" i="21" l="1"/>
  <c r="D35" i="21" s="1"/>
  <c r="B36" i="21" s="1"/>
  <c r="B68" i="21"/>
  <c r="B69" i="21" l="1"/>
  <c r="C36" i="21"/>
  <c r="D36" i="21" s="1"/>
  <c r="B37" i="21" s="1"/>
  <c r="B70" i="21" l="1"/>
  <c r="C37" i="21"/>
  <c r="D37" i="21" s="1"/>
  <c r="B38" i="21" s="1"/>
  <c r="B71" i="21" l="1"/>
  <c r="C38" i="21"/>
  <c r="D38" i="21" s="1"/>
  <c r="B39" i="21" s="1"/>
  <c r="C39" i="21" l="1"/>
  <c r="D39" i="21" s="1"/>
  <c r="B40" i="21" s="1"/>
  <c r="B72" i="21"/>
  <c r="B73" i="21" l="1"/>
  <c r="C40" i="21"/>
  <c r="D40" i="21" s="1"/>
  <c r="B41" i="21" s="1"/>
  <c r="B74" i="21" l="1"/>
  <c r="C41" i="21"/>
  <c r="D41" i="21" s="1"/>
  <c r="B42" i="21" s="1"/>
  <c r="B75" i="21" l="1"/>
  <c r="C42" i="21"/>
  <c r="D42" i="21" s="1"/>
  <c r="B43" i="21" s="1"/>
  <c r="C43" i="21" l="1"/>
  <c r="D43" i="21" s="1"/>
  <c r="B44" i="21" s="1"/>
  <c r="B76" i="21"/>
  <c r="B77" i="21" l="1"/>
  <c r="C44" i="21"/>
  <c r="D44" i="21" s="1"/>
  <c r="B45" i="21" s="1"/>
  <c r="B78" i="21" l="1"/>
  <c r="B82" i="21" s="1"/>
  <c r="B85" i="21" s="1"/>
  <c r="D1" i="21" s="1"/>
  <c r="B38" i="15" s="1"/>
  <c r="C45" i="21"/>
  <c r="D45" i="21" s="1"/>
  <c r="B46" i="21" s="1"/>
  <c r="B79" i="21" s="1"/>
  <c r="B31" i="15" l="1"/>
  <c r="B29" i="15"/>
  <c r="B26" i="15"/>
  <c r="A3" i="20" s="1"/>
  <c r="H3" i="20" l="1"/>
  <c r="B3" i="20" s="1"/>
  <c r="A4" i="20"/>
  <c r="M3" i="20"/>
  <c r="A5" i="20" l="1"/>
  <c r="H4" i="20"/>
  <c r="B4" i="20" s="1"/>
  <c r="G3" i="20"/>
  <c r="D3" i="20"/>
  <c r="D4" i="20" l="1"/>
  <c r="G4" i="20"/>
  <c r="H5" i="20"/>
  <c r="B5" i="20" s="1"/>
  <c r="A6" i="20"/>
  <c r="G5" i="20" l="1"/>
  <c r="D5" i="20"/>
  <c r="A7" i="20"/>
  <c r="H6" i="20"/>
  <c r="B6" i="20" s="1"/>
  <c r="D6" i="20" l="1"/>
  <c r="G6" i="20"/>
  <c r="H7" i="20"/>
  <c r="B7" i="20" s="1"/>
  <c r="A8" i="20"/>
  <c r="G7" i="20" l="1"/>
  <c r="D7" i="20"/>
  <c r="A9" i="20"/>
  <c r="H8" i="20"/>
  <c r="B8" i="20" s="1"/>
  <c r="D8" i="20" l="1"/>
  <c r="G8" i="20"/>
  <c r="H9" i="20"/>
  <c r="B9" i="20" s="1"/>
  <c r="A10" i="20"/>
  <c r="G9" i="20" l="1"/>
  <c r="D9" i="20"/>
  <c r="A11" i="20"/>
  <c r="H10" i="20"/>
  <c r="B10" i="20" s="1"/>
  <c r="D10" i="20" l="1"/>
  <c r="G10" i="20"/>
  <c r="H11" i="20"/>
  <c r="B11" i="20" s="1"/>
  <c r="A12" i="20"/>
  <c r="A13" i="20" l="1"/>
  <c r="H12" i="20"/>
  <c r="B12" i="20" s="1"/>
  <c r="G11" i="20"/>
  <c r="D11" i="20"/>
  <c r="D12" i="20" l="1"/>
  <c r="G12" i="20"/>
  <c r="H13" i="20"/>
  <c r="B13" i="20" s="1"/>
  <c r="A14" i="20"/>
  <c r="H14" i="20" l="1"/>
  <c r="B14" i="20" s="1"/>
  <c r="G13" i="20"/>
  <c r="D13" i="20"/>
  <c r="D14" i="20" l="1"/>
  <c r="G14" i="20"/>
  <c r="J3" i="20" l="1"/>
  <c r="Q3" i="20" l="1"/>
  <c r="K3" i="20" s="1"/>
  <c r="J4" i="20"/>
  <c r="J5" i="20" l="1"/>
  <c r="Q4" i="20"/>
  <c r="M4" i="20" s="1"/>
  <c r="P3" i="20"/>
  <c r="L3" i="20"/>
  <c r="N3" i="20" s="1"/>
  <c r="O3" i="20" s="1"/>
  <c r="K4" i="20" l="1"/>
  <c r="P4" i="20" s="1"/>
  <c r="Q5" i="20"/>
  <c r="M5" i="20" s="1"/>
  <c r="J6" i="20"/>
  <c r="L4" i="20" l="1"/>
  <c r="N4" i="20" s="1"/>
  <c r="O4" i="20" s="1"/>
  <c r="K5" i="20" s="1"/>
  <c r="P5" i="20" s="1"/>
  <c r="J7" i="20"/>
  <c r="Q6" i="20"/>
  <c r="M6" i="20" s="1"/>
  <c r="L5" i="20" l="1"/>
  <c r="N5" i="20" s="1"/>
  <c r="O5" i="20" s="1"/>
  <c r="K6" i="20" s="1"/>
  <c r="P6" i="20" s="1"/>
  <c r="Q7" i="20"/>
  <c r="M7" i="20" s="1"/>
  <c r="J8" i="20"/>
  <c r="L6" i="20" l="1"/>
  <c r="N6" i="20" s="1"/>
  <c r="O6" i="20" s="1"/>
  <c r="K7" i="20" s="1"/>
  <c r="P7" i="20" s="1"/>
  <c r="J9" i="20"/>
  <c r="Q8" i="20"/>
  <c r="M8" i="20" s="1"/>
  <c r="L7" i="20" l="1"/>
  <c r="N7" i="20" s="1"/>
  <c r="O7" i="20" s="1"/>
  <c r="K8" i="20" s="1"/>
  <c r="P8" i="20" s="1"/>
  <c r="Q9" i="20"/>
  <c r="M9" i="20" s="1"/>
  <c r="J10" i="20"/>
  <c r="L8" i="20" l="1"/>
  <c r="N8" i="20" s="1"/>
  <c r="O8" i="20" s="1"/>
  <c r="K9" i="20" s="1"/>
  <c r="Q10" i="20"/>
  <c r="M10" i="20" s="1"/>
  <c r="J11" i="20"/>
  <c r="P9" i="20" l="1"/>
  <c r="L9" i="20"/>
  <c r="N9" i="20" s="1"/>
  <c r="O9" i="20" s="1"/>
  <c r="K10" i="20" s="1"/>
  <c r="P10" i="20" s="1"/>
  <c r="Q11" i="20"/>
  <c r="M11" i="20" s="1"/>
  <c r="J12" i="20"/>
  <c r="L10" i="20" l="1"/>
  <c r="N10" i="20" s="1"/>
  <c r="O10" i="20" s="1"/>
  <c r="K11" i="20" s="1"/>
  <c r="J13" i="20"/>
  <c r="Q12" i="20"/>
  <c r="M12" i="20" s="1"/>
  <c r="P11" i="20" l="1"/>
  <c r="L11" i="20"/>
  <c r="N11" i="20" s="1"/>
  <c r="O11" i="20" s="1"/>
  <c r="K12" i="20" s="1"/>
  <c r="P12" i="20" s="1"/>
  <c r="Q13" i="20"/>
  <c r="M13" i="20" s="1"/>
  <c r="J14" i="20"/>
  <c r="L12" i="20" l="1"/>
  <c r="N12" i="20" s="1"/>
  <c r="O12" i="20" s="1"/>
  <c r="K13" i="20" s="1"/>
  <c r="P13" i="20" s="1"/>
  <c r="Q14" i="20"/>
  <c r="M14" i="20" s="1"/>
  <c r="J15" i="20"/>
  <c r="L13" i="20" l="1"/>
  <c r="N13" i="20" s="1"/>
  <c r="O13" i="20" s="1"/>
  <c r="K14" i="20" s="1"/>
  <c r="P14" i="20" s="1"/>
  <c r="Q15" i="20"/>
  <c r="M15" i="20" s="1"/>
  <c r="J16" i="20"/>
  <c r="L14" i="20" l="1"/>
  <c r="N14" i="20" s="1"/>
  <c r="O14" i="20" s="1"/>
  <c r="K15" i="20" s="1"/>
  <c r="J17" i="20"/>
  <c r="Q16" i="20"/>
  <c r="M16" i="20" s="1"/>
  <c r="P15" i="20" l="1"/>
  <c r="L15" i="20"/>
  <c r="N15" i="20" s="1"/>
  <c r="O15" i="20" s="1"/>
  <c r="K16" i="20" s="1"/>
  <c r="Q17" i="20"/>
  <c r="M17" i="20" s="1"/>
  <c r="J18" i="20"/>
  <c r="P16" i="20" l="1"/>
  <c r="L16" i="20"/>
  <c r="N16" i="20" s="1"/>
  <c r="O16" i="20" s="1"/>
  <c r="K17" i="20" s="1"/>
  <c r="Q18" i="20"/>
  <c r="M18" i="20" s="1"/>
  <c r="J19" i="20"/>
  <c r="P17" i="20" l="1"/>
  <c r="L17" i="20"/>
  <c r="N17" i="20" s="1"/>
  <c r="O17" i="20" s="1"/>
  <c r="K18" i="20" s="1"/>
  <c r="Q19" i="20"/>
  <c r="M19" i="20" s="1"/>
  <c r="J20" i="20"/>
  <c r="P18" i="20" l="1"/>
  <c r="L18" i="20"/>
  <c r="N18" i="20" s="1"/>
  <c r="O18" i="20" s="1"/>
  <c r="K19" i="20" s="1"/>
  <c r="J21" i="20"/>
  <c r="Q20" i="20"/>
  <c r="M20" i="20" s="1"/>
  <c r="P19" i="20" l="1"/>
  <c r="L19" i="20"/>
  <c r="N19" i="20" s="1"/>
  <c r="O19" i="20" s="1"/>
  <c r="K20" i="20" s="1"/>
  <c r="P20" i="20" s="1"/>
  <c r="Q21" i="20"/>
  <c r="M21" i="20" s="1"/>
  <c r="J22" i="20"/>
  <c r="L20" i="20" l="1"/>
  <c r="N20" i="20" s="1"/>
  <c r="O20" i="20" s="1"/>
  <c r="K21" i="20" s="1"/>
  <c r="P21" i="20" s="1"/>
  <c r="Q22" i="20"/>
  <c r="M22" i="20" s="1"/>
  <c r="J23" i="20"/>
  <c r="L21" i="20" l="1"/>
  <c r="N21" i="20" s="1"/>
  <c r="O21" i="20" s="1"/>
  <c r="K22" i="20" s="1"/>
  <c r="P22" i="20" s="1"/>
  <c r="Q23" i="20"/>
  <c r="M23" i="20" s="1"/>
  <c r="J24" i="20"/>
  <c r="L22" i="20" l="1"/>
  <c r="N22" i="20" s="1"/>
  <c r="O22" i="20" s="1"/>
  <c r="K23" i="20" s="1"/>
  <c r="J25" i="20"/>
  <c r="Q24" i="20"/>
  <c r="M24" i="20" s="1"/>
  <c r="P23" i="20" l="1"/>
  <c r="L23" i="20"/>
  <c r="N23" i="20" s="1"/>
  <c r="O23" i="20" s="1"/>
  <c r="K24" i="20" s="1"/>
  <c r="P24" i="20" s="1"/>
  <c r="Q25" i="20"/>
  <c r="M25" i="20" s="1"/>
  <c r="J26" i="20"/>
  <c r="L24" i="20" l="1"/>
  <c r="N24" i="20" s="1"/>
  <c r="O24" i="20" s="1"/>
  <c r="K25" i="20" s="1"/>
  <c r="P25" i="20" s="1"/>
  <c r="J27" i="20"/>
  <c r="Q26" i="20"/>
  <c r="M26" i="20" s="1"/>
  <c r="L25" i="20" l="1"/>
  <c r="N25" i="20" s="1"/>
  <c r="O25" i="20" s="1"/>
  <c r="K26" i="20" s="1"/>
  <c r="J28" i="20"/>
  <c r="Q27" i="20"/>
  <c r="M27" i="20" s="1"/>
  <c r="P26" i="20" l="1"/>
  <c r="L26" i="20"/>
  <c r="N26" i="20" s="1"/>
  <c r="O26" i="20" s="1"/>
  <c r="K27" i="20" s="1"/>
  <c r="J29" i="20"/>
  <c r="Q28" i="20"/>
  <c r="M28" i="20" s="1"/>
  <c r="P27" i="20" l="1"/>
  <c r="L27" i="20"/>
  <c r="N27" i="20" s="1"/>
  <c r="O27" i="20" s="1"/>
  <c r="K28" i="20" s="1"/>
  <c r="J30" i="20"/>
  <c r="Q29" i="20"/>
  <c r="M29" i="20" s="1"/>
  <c r="P28" i="20" l="1"/>
  <c r="L28" i="20"/>
  <c r="N28" i="20" s="1"/>
  <c r="O28" i="20" s="1"/>
  <c r="K29" i="20" s="1"/>
  <c r="P29" i="20" s="1"/>
  <c r="J31" i="20"/>
  <c r="Q30" i="20"/>
  <c r="M30" i="20" s="1"/>
  <c r="L29" i="20" l="1"/>
  <c r="N29" i="20" s="1"/>
  <c r="O29" i="20" s="1"/>
  <c r="K30" i="20" s="1"/>
  <c r="P30" i="20" s="1"/>
  <c r="J32" i="20"/>
  <c r="Q31" i="20"/>
  <c r="M31" i="20" s="1"/>
  <c r="J33" i="20" l="1"/>
  <c r="Q32" i="20"/>
  <c r="M32" i="20" s="1"/>
  <c r="L30" i="20"/>
  <c r="N30" i="20" s="1"/>
  <c r="O30" i="20" s="1"/>
  <c r="K31" i="20" s="1"/>
  <c r="P31" i="20" s="1"/>
  <c r="J34" i="20" l="1"/>
  <c r="Q33" i="20"/>
  <c r="M33" i="20" s="1"/>
  <c r="L31" i="20"/>
  <c r="N31" i="20" s="1"/>
  <c r="O31" i="20" s="1"/>
  <c r="K32" i="20" s="1"/>
  <c r="P32" i="20" s="1"/>
  <c r="J35" i="20" l="1"/>
  <c r="Q34" i="20"/>
  <c r="M34" i="20" s="1"/>
  <c r="L32" i="20"/>
  <c r="N32" i="20" s="1"/>
  <c r="O32" i="20" s="1"/>
  <c r="K33" i="20" s="1"/>
  <c r="P33" i="20" s="1"/>
  <c r="J36" i="20" l="1"/>
  <c r="Q35" i="20"/>
  <c r="M35" i="20" s="1"/>
  <c r="L33" i="20"/>
  <c r="N33" i="20" s="1"/>
  <c r="O33" i="20" s="1"/>
  <c r="K34" i="20" s="1"/>
  <c r="P34" i="20" s="1"/>
  <c r="J37" i="20" l="1"/>
  <c r="Q36" i="20"/>
  <c r="M36" i="20" s="1"/>
  <c r="L34" i="20"/>
  <c r="N34" i="20" s="1"/>
  <c r="O34" i="20" s="1"/>
  <c r="K35" i="20" s="1"/>
  <c r="P35" i="20" s="1"/>
  <c r="J38" i="20" l="1"/>
  <c r="Q37" i="20"/>
  <c r="M37" i="20" s="1"/>
  <c r="L35" i="20"/>
  <c r="N35" i="20" s="1"/>
  <c r="O35" i="20" s="1"/>
  <c r="K36" i="20" s="1"/>
  <c r="P36" i="20" s="1"/>
  <c r="J39" i="20" l="1"/>
  <c r="Q38" i="20"/>
  <c r="M38" i="20" s="1"/>
  <c r="L36" i="20"/>
  <c r="N36" i="20" s="1"/>
  <c r="O36" i="20" s="1"/>
  <c r="K37" i="20" s="1"/>
  <c r="P37" i="20" s="1"/>
  <c r="J40" i="20" l="1"/>
  <c r="Q39" i="20"/>
  <c r="M39" i="20" s="1"/>
  <c r="L37" i="20"/>
  <c r="N37" i="20" s="1"/>
  <c r="O37" i="20" s="1"/>
  <c r="K38" i="20" s="1"/>
  <c r="P38" i="20" s="1"/>
  <c r="J41" i="20" l="1"/>
  <c r="Q40" i="20"/>
  <c r="M40" i="20" s="1"/>
  <c r="L38" i="20"/>
  <c r="N38" i="20" s="1"/>
  <c r="O38" i="20" s="1"/>
  <c r="K39" i="20" s="1"/>
  <c r="P39" i="20" s="1"/>
  <c r="J42" i="20" l="1"/>
  <c r="Q41" i="20"/>
  <c r="M41" i="20" s="1"/>
  <c r="L39" i="20"/>
  <c r="N39" i="20" s="1"/>
  <c r="O39" i="20" s="1"/>
  <c r="K40" i="20" s="1"/>
  <c r="P40" i="20" s="1"/>
  <c r="J43" i="20" l="1"/>
  <c r="Q42" i="20"/>
  <c r="M42" i="20" s="1"/>
  <c r="L40" i="20"/>
  <c r="N40" i="20" s="1"/>
  <c r="O40" i="20" s="1"/>
  <c r="K41" i="20" s="1"/>
  <c r="P41" i="20" s="1"/>
  <c r="J44" i="20" l="1"/>
  <c r="Q43" i="20"/>
  <c r="M43" i="20" s="1"/>
  <c r="L41" i="20"/>
  <c r="N41" i="20" s="1"/>
  <c r="O41" i="20" s="1"/>
  <c r="K42" i="20" s="1"/>
  <c r="P42" i="20" s="1"/>
  <c r="J45" i="20" l="1"/>
  <c r="Q44" i="20"/>
  <c r="M44" i="20" s="1"/>
  <c r="L42" i="20"/>
  <c r="N42" i="20" s="1"/>
  <c r="O42" i="20" s="1"/>
  <c r="K43" i="20" s="1"/>
  <c r="P43" i="20" s="1"/>
  <c r="J46" i="20" l="1"/>
  <c r="Q45" i="20"/>
  <c r="M45" i="20" s="1"/>
  <c r="L43" i="20"/>
  <c r="N43" i="20" s="1"/>
  <c r="O43" i="20" s="1"/>
  <c r="K44" i="20" s="1"/>
  <c r="P44" i="20" s="1"/>
  <c r="J47" i="20" l="1"/>
  <c r="Q46" i="20"/>
  <c r="M46" i="20" s="1"/>
  <c r="L44" i="20"/>
  <c r="N44" i="20" s="1"/>
  <c r="O44" i="20" s="1"/>
  <c r="K45" i="20" s="1"/>
  <c r="P45" i="20" s="1"/>
  <c r="J48" i="20" l="1"/>
  <c r="Q47" i="20"/>
  <c r="M47" i="20" s="1"/>
  <c r="L45" i="20"/>
  <c r="N45" i="20" s="1"/>
  <c r="O45" i="20" s="1"/>
  <c r="K46" i="20" s="1"/>
  <c r="P46" i="20" s="1"/>
  <c r="J49" i="20" l="1"/>
  <c r="Q48" i="20"/>
  <c r="M48" i="20" s="1"/>
  <c r="L46" i="20"/>
  <c r="N46" i="20" s="1"/>
  <c r="O46" i="20" s="1"/>
  <c r="K47" i="20" s="1"/>
  <c r="P47" i="20" s="1"/>
  <c r="L47" i="20" l="1"/>
  <c r="N47" i="20" s="1"/>
  <c r="O47" i="20" s="1"/>
  <c r="K48" i="20" s="1"/>
  <c r="P48" i="20" s="1"/>
  <c r="J50" i="20"/>
  <c r="Q49" i="20"/>
  <c r="M49" i="20" s="1"/>
  <c r="J51" i="20" l="1"/>
  <c r="Q50" i="20"/>
  <c r="M50" i="20" s="1"/>
  <c r="L48" i="20"/>
  <c r="N48" i="20" s="1"/>
  <c r="O48" i="20" s="1"/>
  <c r="K49" i="20" s="1"/>
  <c r="P49" i="20" s="1"/>
  <c r="J52" i="20" l="1"/>
  <c r="Q51" i="20"/>
  <c r="M51" i="20" s="1"/>
  <c r="L49" i="20"/>
  <c r="N49" i="20" s="1"/>
  <c r="O49" i="20" s="1"/>
  <c r="K50" i="20" s="1"/>
  <c r="P50" i="20" s="1"/>
  <c r="J53" i="20" l="1"/>
  <c r="Q52" i="20"/>
  <c r="M52" i="20" s="1"/>
  <c r="L50" i="20"/>
  <c r="N50" i="20" s="1"/>
  <c r="O50" i="20" s="1"/>
  <c r="K51" i="20" s="1"/>
  <c r="P51" i="20" s="1"/>
  <c r="J54" i="20" l="1"/>
  <c r="Q53" i="20"/>
  <c r="M53" i="20" s="1"/>
  <c r="L51" i="20"/>
  <c r="N51" i="20" s="1"/>
  <c r="O51" i="20" s="1"/>
  <c r="K52" i="20" s="1"/>
  <c r="P52" i="20" s="1"/>
  <c r="J55" i="20" l="1"/>
  <c r="Q54" i="20"/>
  <c r="M54" i="20" s="1"/>
  <c r="L52" i="20"/>
  <c r="N52" i="20" s="1"/>
  <c r="O52" i="20" s="1"/>
  <c r="K53" i="20" s="1"/>
  <c r="P53" i="20" s="1"/>
  <c r="J56" i="20" l="1"/>
  <c r="Q55" i="20"/>
  <c r="M55" i="20" s="1"/>
  <c r="L53" i="20"/>
  <c r="N53" i="20" s="1"/>
  <c r="O53" i="20" s="1"/>
  <c r="K54" i="20" s="1"/>
  <c r="P54" i="20" s="1"/>
  <c r="Q56" i="20" l="1"/>
  <c r="M56" i="20" s="1"/>
  <c r="J57" i="20"/>
  <c r="L54" i="20"/>
  <c r="N54" i="20" s="1"/>
  <c r="O54" i="20" s="1"/>
  <c r="K55" i="20" s="1"/>
  <c r="P55" i="20" s="1"/>
  <c r="L55" i="20" l="1"/>
  <c r="N55" i="20" s="1"/>
  <c r="O55" i="20" s="1"/>
  <c r="K56" i="20" s="1"/>
  <c r="P56" i="20" s="1"/>
  <c r="Q57" i="20"/>
  <c r="M57" i="20" s="1"/>
  <c r="J58" i="20"/>
  <c r="L56" i="20" l="1"/>
  <c r="N56" i="20" s="1"/>
  <c r="O56" i="20" s="1"/>
  <c r="K57" i="20" s="1"/>
  <c r="P57" i="20" s="1"/>
  <c r="Q58" i="20"/>
  <c r="M58" i="20" s="1"/>
  <c r="J59" i="20"/>
  <c r="L57" i="20" l="1"/>
  <c r="N57" i="20" s="1"/>
  <c r="O57" i="20" s="1"/>
  <c r="K58" i="20" s="1"/>
  <c r="P58" i="20" s="1"/>
  <c r="Q59" i="20"/>
  <c r="M59" i="20" s="1"/>
  <c r="J60" i="20"/>
  <c r="L58" i="20" l="1"/>
  <c r="N58" i="20" s="1"/>
  <c r="O58" i="20" s="1"/>
  <c r="K59" i="20" s="1"/>
  <c r="P59" i="20" s="1"/>
  <c r="Q60" i="20"/>
  <c r="M60" i="20" s="1"/>
  <c r="J61" i="20"/>
  <c r="L59" i="20" l="1"/>
  <c r="N59" i="20" s="1"/>
  <c r="O59" i="20" s="1"/>
  <c r="K60" i="20" s="1"/>
  <c r="P60" i="20" s="1"/>
  <c r="Q61" i="20"/>
  <c r="M61" i="20" s="1"/>
  <c r="J62" i="20"/>
  <c r="Q62" i="20" l="1"/>
  <c r="M62" i="20" s="1"/>
  <c r="J63" i="20"/>
  <c r="L60" i="20"/>
  <c r="N60" i="20" s="1"/>
  <c r="O60" i="20" s="1"/>
  <c r="K61" i="20" s="1"/>
  <c r="P61" i="20" s="1"/>
  <c r="L61" i="20" l="1"/>
  <c r="N61" i="20" s="1"/>
  <c r="O61" i="20" s="1"/>
  <c r="K62" i="20" s="1"/>
  <c r="P62" i="20" s="1"/>
  <c r="Q63" i="20"/>
  <c r="M63" i="20" s="1"/>
  <c r="J64" i="20"/>
  <c r="L62" i="20" l="1"/>
  <c r="N62" i="20" s="1"/>
  <c r="O62" i="20" s="1"/>
  <c r="K63" i="20" s="1"/>
  <c r="P63" i="20" s="1"/>
  <c r="Q64" i="20"/>
  <c r="M64" i="20" s="1"/>
  <c r="J65" i="20"/>
  <c r="L63" i="20" l="1"/>
  <c r="N63" i="20" s="1"/>
  <c r="O63" i="20" s="1"/>
  <c r="K64" i="20" s="1"/>
  <c r="P64" i="20" s="1"/>
  <c r="Q65" i="20"/>
  <c r="M65" i="20" s="1"/>
  <c r="J66" i="20"/>
  <c r="Q66" i="20" l="1"/>
  <c r="M66" i="20" s="1"/>
  <c r="J67" i="20"/>
  <c r="L64" i="20"/>
  <c r="N64" i="20" s="1"/>
  <c r="O64" i="20" s="1"/>
  <c r="K65" i="20" s="1"/>
  <c r="P65" i="20" s="1"/>
  <c r="L65" i="20" l="1"/>
  <c r="N65" i="20" s="1"/>
  <c r="O65" i="20" s="1"/>
  <c r="K66" i="20" s="1"/>
  <c r="P66" i="20" s="1"/>
  <c r="Q67" i="20"/>
  <c r="M67" i="20" s="1"/>
  <c r="J68" i="20"/>
  <c r="L66" i="20" l="1"/>
  <c r="N66" i="20" s="1"/>
  <c r="O66" i="20" s="1"/>
  <c r="K67" i="20" s="1"/>
  <c r="P67" i="20" s="1"/>
  <c r="Q68" i="20"/>
  <c r="M68" i="20" s="1"/>
  <c r="J69" i="20"/>
  <c r="L67" i="20" l="1"/>
  <c r="N67" i="20" s="1"/>
  <c r="O67" i="20" s="1"/>
  <c r="K68" i="20" s="1"/>
  <c r="P68" i="20" s="1"/>
  <c r="Q69" i="20"/>
  <c r="M69" i="20" s="1"/>
  <c r="J70" i="20"/>
  <c r="Q70" i="20" l="1"/>
  <c r="M70" i="20" s="1"/>
  <c r="J71" i="20"/>
  <c r="L68" i="20"/>
  <c r="N68" i="20" s="1"/>
  <c r="O68" i="20" s="1"/>
  <c r="K69" i="20" s="1"/>
  <c r="P69" i="20" s="1"/>
  <c r="L69" i="20" l="1"/>
  <c r="N69" i="20" s="1"/>
  <c r="O69" i="20" s="1"/>
  <c r="K70" i="20" s="1"/>
  <c r="P70" i="20" s="1"/>
  <c r="Q71" i="20"/>
  <c r="M71" i="20" s="1"/>
  <c r="J72" i="20"/>
  <c r="L70" i="20" l="1"/>
  <c r="N70" i="20" s="1"/>
  <c r="O70" i="20" s="1"/>
  <c r="K71" i="20" s="1"/>
  <c r="P71" i="20" s="1"/>
  <c r="Q72" i="20"/>
  <c r="M72" i="20" s="1"/>
  <c r="J73" i="20"/>
  <c r="L71" i="20" l="1"/>
  <c r="N71" i="20" s="1"/>
  <c r="O71" i="20" s="1"/>
  <c r="K72" i="20" s="1"/>
  <c r="P72" i="20" s="1"/>
  <c r="Q73" i="20"/>
  <c r="M73" i="20" s="1"/>
  <c r="J74" i="20"/>
  <c r="Q74" i="20" l="1"/>
  <c r="M74" i="20" s="1"/>
  <c r="J75" i="20"/>
  <c r="L72" i="20"/>
  <c r="N72" i="20" s="1"/>
  <c r="O72" i="20" s="1"/>
  <c r="K73" i="20" s="1"/>
  <c r="P73" i="20" s="1"/>
  <c r="L73" i="20" l="1"/>
  <c r="N73" i="20" s="1"/>
  <c r="O73" i="20" s="1"/>
  <c r="K74" i="20" s="1"/>
  <c r="P74" i="20" s="1"/>
  <c r="Q75" i="20"/>
  <c r="M75" i="20" s="1"/>
  <c r="J76" i="20"/>
  <c r="L74" i="20" l="1"/>
  <c r="N74" i="20" s="1"/>
  <c r="O74" i="20" s="1"/>
  <c r="K75" i="20" s="1"/>
  <c r="P75" i="20" s="1"/>
  <c r="Q76" i="20"/>
  <c r="M76" i="20" s="1"/>
  <c r="J77" i="20"/>
  <c r="L75" i="20" l="1"/>
  <c r="N75" i="20" s="1"/>
  <c r="O75" i="20" s="1"/>
  <c r="K76" i="20" s="1"/>
  <c r="P76" i="20" s="1"/>
  <c r="Q77" i="20"/>
  <c r="M77" i="20" s="1"/>
  <c r="J78" i="20"/>
  <c r="Q78" i="20" l="1"/>
  <c r="M78" i="20" s="1"/>
  <c r="J79" i="20"/>
  <c r="L76" i="20"/>
  <c r="N76" i="20" s="1"/>
  <c r="O76" i="20" s="1"/>
  <c r="K77" i="20" s="1"/>
  <c r="P77" i="20" s="1"/>
  <c r="Q79" i="20" l="1"/>
  <c r="M79" i="20" s="1"/>
  <c r="J80" i="20"/>
  <c r="L77" i="20"/>
  <c r="N77" i="20" s="1"/>
  <c r="O77" i="20" s="1"/>
  <c r="K78" i="20" s="1"/>
  <c r="P78" i="20" s="1"/>
  <c r="L78" i="20" l="1"/>
  <c r="N78" i="20" s="1"/>
  <c r="O78" i="20" s="1"/>
  <c r="K79" i="20" s="1"/>
  <c r="P79" i="20" s="1"/>
  <c r="Q80" i="20"/>
  <c r="M80" i="20" s="1"/>
  <c r="J81" i="20"/>
  <c r="L79" i="20" l="1"/>
  <c r="N79" i="20" s="1"/>
  <c r="O79" i="20" s="1"/>
  <c r="K80" i="20" s="1"/>
  <c r="P80" i="20" s="1"/>
  <c r="Q81" i="20"/>
  <c r="M81" i="20" s="1"/>
  <c r="J82" i="20"/>
  <c r="L80" i="20" l="1"/>
  <c r="N80" i="20" s="1"/>
  <c r="O80" i="20" s="1"/>
  <c r="K81" i="20" s="1"/>
  <c r="P81" i="20" s="1"/>
  <c r="Q82" i="20"/>
  <c r="M82" i="20" s="1"/>
  <c r="J83" i="20"/>
  <c r="Q83" i="20" l="1"/>
  <c r="M83" i="20" s="1"/>
  <c r="J84" i="20"/>
  <c r="L81" i="20"/>
  <c r="N81" i="20" s="1"/>
  <c r="O81" i="20" s="1"/>
  <c r="K82" i="20" s="1"/>
  <c r="P82" i="20" s="1"/>
  <c r="L82" i="20" l="1"/>
  <c r="N82" i="20" s="1"/>
  <c r="O82" i="20" s="1"/>
  <c r="K83" i="20" s="1"/>
  <c r="P83" i="20" s="1"/>
  <c r="Q84" i="20"/>
  <c r="M84" i="20" s="1"/>
  <c r="J85" i="20"/>
  <c r="L83" i="20" l="1"/>
  <c r="N83" i="20" s="1"/>
  <c r="O83" i="20" s="1"/>
  <c r="K84" i="20" s="1"/>
  <c r="P84" i="20" s="1"/>
  <c r="Q85" i="20"/>
  <c r="M85" i="20" s="1"/>
  <c r="J86" i="20"/>
  <c r="Q86" i="20" l="1"/>
  <c r="M86" i="20" s="1"/>
  <c r="J87" i="20"/>
  <c r="L84" i="20"/>
  <c r="N84" i="20" s="1"/>
  <c r="O84" i="20" s="1"/>
  <c r="K85" i="20" s="1"/>
  <c r="P85" i="20" s="1"/>
  <c r="Q87" i="20" l="1"/>
  <c r="M87" i="20" s="1"/>
  <c r="J88" i="20"/>
  <c r="L85" i="20"/>
  <c r="N85" i="20" s="1"/>
  <c r="O85" i="20" s="1"/>
  <c r="K86" i="20" s="1"/>
  <c r="P86" i="20" s="1"/>
  <c r="L86" i="20" l="1"/>
  <c r="N86" i="20" s="1"/>
  <c r="O86" i="20" s="1"/>
  <c r="K87" i="20" s="1"/>
  <c r="P87" i="20" s="1"/>
  <c r="Q88" i="20"/>
  <c r="M88" i="20" s="1"/>
  <c r="J89" i="20"/>
  <c r="L87" i="20" l="1"/>
  <c r="N87" i="20" s="1"/>
  <c r="O87" i="20" s="1"/>
  <c r="K88" i="20" s="1"/>
  <c r="P88" i="20" s="1"/>
  <c r="Q89" i="20"/>
  <c r="M89" i="20" s="1"/>
  <c r="J90" i="20"/>
  <c r="Q90" i="20" l="1"/>
  <c r="M90" i="20" s="1"/>
  <c r="J91" i="20"/>
  <c r="L88" i="20"/>
  <c r="N88" i="20" s="1"/>
  <c r="O88" i="20" s="1"/>
  <c r="K89" i="20" s="1"/>
  <c r="P89" i="20" s="1"/>
  <c r="L89" i="20" l="1"/>
  <c r="N89" i="20" s="1"/>
  <c r="O89" i="20" s="1"/>
  <c r="K90" i="20" s="1"/>
  <c r="P90" i="20" s="1"/>
  <c r="Q91" i="20"/>
  <c r="M91" i="20" s="1"/>
  <c r="J92" i="20"/>
  <c r="L90" i="20" l="1"/>
  <c r="N90" i="20" s="1"/>
  <c r="O90" i="20" s="1"/>
  <c r="K91" i="20" s="1"/>
  <c r="P91" i="20" s="1"/>
  <c r="Q92" i="20"/>
  <c r="M92" i="20" s="1"/>
  <c r="J93" i="20"/>
  <c r="Q93" i="20" l="1"/>
  <c r="M93" i="20" s="1"/>
  <c r="J94" i="20"/>
  <c r="L91" i="20"/>
  <c r="N91" i="20" s="1"/>
  <c r="O91" i="20" s="1"/>
  <c r="K92" i="20" s="1"/>
  <c r="P92" i="20" s="1"/>
  <c r="L92" i="20" l="1"/>
  <c r="N92" i="20" s="1"/>
  <c r="O92" i="20" s="1"/>
  <c r="K93" i="20" s="1"/>
  <c r="P93" i="20" s="1"/>
  <c r="Q94" i="20"/>
  <c r="M94" i="20" s="1"/>
  <c r="J95" i="20"/>
  <c r="L93" i="20" l="1"/>
  <c r="N93" i="20" s="1"/>
  <c r="O93" i="20" s="1"/>
  <c r="K94" i="20" s="1"/>
  <c r="P94" i="20" s="1"/>
  <c r="Q95" i="20"/>
  <c r="M95" i="20" s="1"/>
  <c r="J96" i="20"/>
  <c r="L94" i="20" l="1"/>
  <c r="N94" i="20" s="1"/>
  <c r="O94" i="20" s="1"/>
  <c r="K95" i="20" s="1"/>
  <c r="P95" i="20" s="1"/>
  <c r="Q96" i="20"/>
  <c r="M96" i="20" s="1"/>
  <c r="J97" i="20"/>
  <c r="L95" i="20" l="1"/>
  <c r="N95" i="20" s="1"/>
  <c r="O95" i="20" s="1"/>
  <c r="K96" i="20" s="1"/>
  <c r="P96" i="20" s="1"/>
  <c r="Q97" i="20"/>
  <c r="M97" i="20" s="1"/>
  <c r="J98" i="20"/>
  <c r="Q98" i="20" s="1"/>
  <c r="M98" i="20" s="1"/>
  <c r="L96" i="20" l="1"/>
  <c r="N96" i="20" s="1"/>
  <c r="O96" i="20" s="1"/>
  <c r="K97" i="20" s="1"/>
  <c r="P97" i="20" s="1"/>
  <c r="L97" i="20" l="1"/>
  <c r="N97" i="20" s="1"/>
  <c r="O97" i="20" s="1"/>
  <c r="K98" i="20" s="1"/>
  <c r="P98" i="20" l="1"/>
  <c r="B35" i="15" s="1"/>
  <c r="L98" i="20"/>
  <c r="N98" i="20" s="1"/>
  <c r="O98" i="20" s="1"/>
  <c r="B36" i="15" l="1"/>
  <c r="B39" i="1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Giorgio</author>
    <author>Giorgio Tangherlini</author>
  </authors>
  <commentList>
    <comment ref="B24" authorId="0" shapeId="0" xr:uid="{C1AAEEDB-E0E1-4DB5-8DE3-CFA1718D64B2}">
      <text>
        <r>
          <rPr>
            <sz val="9"/>
            <color indexed="81"/>
            <rFont val="Tahoma"/>
            <family val="2"/>
          </rPr>
          <t>12 = frequenza mensile
4 = frequenza trimestrale
3 = frequenza quadrimestrale
2 = frequenza semestrale
1 = frequenza annuale
0 = nessuna rata di preammortamento</t>
        </r>
      </text>
    </comment>
    <comment ref="B27" authorId="0" shapeId="0" xr:uid="{B4E901A6-8853-4D6D-ADDF-E5B12E383A2F}">
      <text>
        <r>
          <rPr>
            <sz val="9"/>
            <color indexed="81"/>
            <rFont val="Tahoma"/>
            <family val="2"/>
          </rPr>
          <t>12 = frequenza mensile
4 = frequenza trimestrale
3 = frequenza quadrimestrale
2 = frequenza semestrale
1 = frequenza annuale</t>
        </r>
      </text>
    </comment>
    <comment ref="B37" authorId="1" shapeId="0" xr:uid="{3BF489EB-1895-4517-A926-B5C15CAAC4B1}">
      <text>
        <r>
          <rPr>
            <sz val="9"/>
            <color indexed="81"/>
            <rFont val="Tahoma"/>
            <family val="2"/>
          </rPr>
          <t>Sulla base delle disposizioni operative del FCG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A12" authorId="0" shapeId="0" xr:uid="{E1A524B3-B777-48F9-9AAC-F4D11893263D}">
      <text>
        <r>
          <rPr>
            <sz val="8"/>
            <color indexed="8"/>
            <rFont val="Tahoma"/>
            <family val="2"/>
          </rPr>
          <t>Commissione Unione Europea</t>
        </r>
      </text>
    </comment>
  </commentList>
</comments>
</file>

<file path=xl/sharedStrings.xml><?xml version="1.0" encoding="utf-8"?>
<sst xmlns="http://schemas.openxmlformats.org/spreadsheetml/2006/main" count="77" uniqueCount="69">
  <si>
    <t>PIANO DI PREAMMORTAMENTO</t>
  </si>
  <si>
    <t>Quote interessi attualizzate ai fini del calcolo dell'ESL</t>
  </si>
  <si>
    <t>Numero rata</t>
  </si>
  <si>
    <t>Quota interessi</t>
  </si>
  <si>
    <t>Quota capitale</t>
  </si>
  <si>
    <t>Rata complessiva</t>
  </si>
  <si>
    <t>Debito estinto</t>
  </si>
  <si>
    <t xml:space="preserve">Debito residuo </t>
  </si>
  <si>
    <t xml:space="preserve">PIANO DI AMMORTAMENTO </t>
  </si>
  <si>
    <t>Numero di rate in un anno nel periodo di preammortamento</t>
  </si>
  <si>
    <t>Numero di rate in un anno nel periodo di ammortamento</t>
  </si>
  <si>
    <t>Numero rate totali di preammortamento</t>
  </si>
  <si>
    <t>Numero rate totali di ammortamento</t>
  </si>
  <si>
    <t>Frequenza</t>
  </si>
  <si>
    <t>Tasso di interesse periodale - periodo di ammortamento</t>
  </si>
  <si>
    <t>Tasso di interesse periodale - periodo di preammortamento</t>
  </si>
  <si>
    <t>Contributo quota interessi</t>
  </si>
  <si>
    <t>Importo Finanziamento</t>
  </si>
  <si>
    <t>Tasso di Riferimento Europeo (anno/mese di concessione)</t>
  </si>
  <si>
    <t>TAN Prestito</t>
  </si>
  <si>
    <t>Durata periodo di preammortamento (in mesi)</t>
  </si>
  <si>
    <t>Durata periodo di ammortamento (in mesi)</t>
  </si>
  <si>
    <t>Durata complessiva prestito (mm)</t>
  </si>
  <si>
    <t>Margine attualiazzazione - Comunicazione 2008/C 14/02</t>
  </si>
  <si>
    <t>Totale ESL</t>
  </si>
  <si>
    <t>Totale Sovvenzione</t>
  </si>
  <si>
    <t>DE MINIMIS</t>
  </si>
  <si>
    <t>Fr fattore di rischio</t>
  </si>
  <si>
    <t>C costi amministr.</t>
  </si>
  <si>
    <t>R remunerazione capitale</t>
  </si>
  <si>
    <t>G% premio una tantum effettivo</t>
  </si>
  <si>
    <t>D (prestito)</t>
  </si>
  <si>
    <t>Z (% garantita dal Fondo)</t>
  </si>
  <si>
    <t>importo garantito (D*Z)</t>
  </si>
  <si>
    <t>t durata (in anni arrotondata per eccesso)</t>
  </si>
  <si>
    <t>i tasso di riferimento</t>
  </si>
  <si>
    <t>rata costante D al tasso i</t>
  </si>
  <si>
    <t>anni</t>
  </si>
  <si>
    <t>Dt debito residuo</t>
  </si>
  <si>
    <t xml:space="preserve">interessi </t>
  </si>
  <si>
    <t>quota capitale</t>
  </si>
  <si>
    <t xml:space="preserve">rata costante </t>
  </si>
  <si>
    <r>
      <rPr>
        <b/>
        <sz val="10"/>
        <rFont val="Arial"/>
        <family val="2"/>
      </rPr>
      <t>It = Dt Z (F</t>
    </r>
    <r>
      <rPr>
        <b/>
        <vertAlign val="subscript"/>
        <sz val="10"/>
        <rFont val="Arial"/>
        <family val="2"/>
      </rPr>
      <t>R</t>
    </r>
    <r>
      <rPr>
        <b/>
        <sz val="10"/>
        <rFont val="Arial"/>
        <family val="2"/>
      </rPr>
      <t xml:space="preserve"> + C + R)</t>
    </r>
  </si>
  <si>
    <r>
      <rPr>
        <b/>
        <sz val="12"/>
        <rFont val="Symbol"/>
        <family val="1"/>
        <charset val="2"/>
      </rPr>
      <t>S</t>
    </r>
    <r>
      <rPr>
        <b/>
        <sz val="12"/>
        <rFont val="Times New Roman"/>
        <family val="1"/>
      </rPr>
      <t xml:space="preserve"> I</t>
    </r>
    <r>
      <rPr>
        <b/>
        <vertAlign val="subscript"/>
        <sz val="12"/>
        <rFont val="Times New Roman"/>
        <family val="1"/>
      </rPr>
      <t xml:space="preserve">t </t>
    </r>
    <r>
      <rPr>
        <b/>
        <sz val="12"/>
        <rFont val="Times New Roman"/>
        <family val="1"/>
      </rPr>
      <t>attualizzati</t>
    </r>
  </si>
  <si>
    <t>G (valore)</t>
  </si>
  <si>
    <t xml:space="preserve">ESL valore </t>
  </si>
  <si>
    <t>Fattore di rischio per calcolo ESL riassicurazione</t>
  </si>
  <si>
    <t>Valorizzare i campi in rosso</t>
  </si>
  <si>
    <t>Percentuale garanzia I grado (totale)</t>
  </si>
  <si>
    <t>Percentuale garanzia I grado con FCG (se presente)</t>
  </si>
  <si>
    <t>TAN (max 2,5%) - pre amm.to</t>
  </si>
  <si>
    <t>TAN (max 2,5%) -  amm.to</t>
  </si>
  <si>
    <t>Linea B</t>
  </si>
  <si>
    <t>Linea A</t>
  </si>
  <si>
    <t>Importo Contributo c/investimenti</t>
  </si>
  <si>
    <t>Plafond</t>
  </si>
  <si>
    <t>Fascia</t>
  </si>
  <si>
    <t>Sì</t>
  </si>
  <si>
    <t>FCG</t>
  </si>
  <si>
    <t>Percentuale contributo</t>
  </si>
  <si>
    <t>Percentuale garanzia I grado con FNC-INV-LIQ</t>
  </si>
  <si>
    <t>Industria</t>
  </si>
  <si>
    <t>ESL riassicurazione FNC-INV-LIQ</t>
  </si>
  <si>
    <t>Progetto complessivo (min € 15.000)</t>
  </si>
  <si>
    <t>Progetto agevolabile</t>
  </si>
  <si>
    <r>
      <t xml:space="preserve">Premialità interessi - </t>
    </r>
    <r>
      <rPr>
        <u/>
        <sz val="10.5"/>
        <color theme="1"/>
        <rFont val="Calibri"/>
        <family val="2"/>
        <scheme val="minor"/>
      </rPr>
      <t>fascia Investimenti</t>
    </r>
  </si>
  <si>
    <t>Contributo commissioni garanzia</t>
  </si>
  <si>
    <t>No</t>
  </si>
  <si>
    <t>Investimenti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</si>
</sst>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#,##0.00\ &quot;€&quot;;[Red]\-#,##0.00\ &quot;€&quot;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&quot;€&quot;\ #,##0.00"/>
    <numFmt numFmtId="167" formatCode="_-* #,##0_-;\-* #,##0_-;_-* &quot;-&quot;??_-;_-@_-"/>
    <numFmt numFmtId="168" formatCode="&quot;€ &quot;#,##0.00;&quot;-€ &quot;#,##0.00"/>
    <numFmt numFmtId="169" formatCode="0.0000%"/>
    <numFmt numFmtId="170" formatCode="0.000%"/>
    <numFmt numFmtId="171" formatCode="_-* #,##0.00_-;\-* #,##0.00_-;_-* \-??_-;_-@_-"/>
    <numFmt numFmtId="172" formatCode="&quot;€ &quot;#,##0.00;[Red]&quot;-€ &quot;#,##0.00"/>
    <numFmt numFmtId="173" formatCode="dd/mm/yy"/>
    <numFmt numFmtId="174" formatCode="#,##0.00_ ;\-#,##0.00\ "/>
  </numFmts>
  <fonts count="24" x14ac:knownFonts="1">
    <font>
      <sz val="10"/>
      <name val="Century Gothic"/>
      <family val="2"/>
    </font>
    <font>
      <sz val="10"/>
      <name val="Century Gothic"/>
      <family val="2"/>
    </font>
    <font>
      <b/>
      <sz val="10.5"/>
      <name val="Calibri Light"/>
      <family val="1"/>
      <scheme val="major"/>
    </font>
    <font>
      <sz val="10"/>
      <name val="Calibri Light"/>
      <family val="1"/>
      <scheme val="major"/>
    </font>
    <font>
      <sz val="9"/>
      <color indexed="81"/>
      <name val="Tahoma"/>
      <family val="2"/>
    </font>
    <font>
      <b/>
      <sz val="10.5"/>
      <color rgb="FFFF0000"/>
      <name val="Calibri Light"/>
      <family val="1"/>
      <scheme val="major"/>
    </font>
    <font>
      <b/>
      <sz val="16"/>
      <name val="Arial"/>
      <family val="2"/>
    </font>
    <font>
      <b/>
      <sz val="10"/>
      <color indexed="12"/>
      <name val="Arial"/>
      <family val="2"/>
    </font>
    <font>
      <sz val="10"/>
      <color indexed="56"/>
      <name val="Arial"/>
      <family val="2"/>
    </font>
    <font>
      <sz val="16"/>
      <color indexed="12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vertAlign val="subscript"/>
      <sz val="10"/>
      <name val="Arial"/>
      <family val="2"/>
    </font>
    <font>
      <b/>
      <sz val="12"/>
      <name val="Symbol"/>
      <family val="1"/>
      <charset val="2"/>
    </font>
    <font>
      <b/>
      <sz val="12"/>
      <name val="Times New Roman"/>
      <family val="1"/>
    </font>
    <font>
      <b/>
      <vertAlign val="subscript"/>
      <sz val="12"/>
      <name val="Times New Roman"/>
      <family val="1"/>
    </font>
    <font>
      <sz val="8"/>
      <color indexed="8"/>
      <name val="Tahoma"/>
      <family val="2"/>
    </font>
    <font>
      <sz val="10.5"/>
      <name val="Calibri"/>
      <family val="2"/>
      <scheme val="minor"/>
    </font>
    <font>
      <u/>
      <sz val="10.5"/>
      <color theme="1"/>
      <name val="Calibri"/>
      <family val="2"/>
      <scheme val="minor"/>
    </font>
    <font>
      <sz val="10.5"/>
      <color rgb="FFFF0000"/>
      <name val="Calibri"/>
      <family val="2"/>
      <scheme val="minor"/>
    </font>
    <font>
      <b/>
      <sz val="10.5"/>
      <name val="Calibri"/>
      <family val="2"/>
      <scheme val="minor"/>
    </font>
    <font>
      <u/>
      <sz val="10.5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3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 applyAlignment="1" applyProtection="1">
      <alignment horizontal="center" vertical="center"/>
      <protection hidden="1"/>
    </xf>
    <xf numFmtId="0" fontId="0" fillId="0" borderId="0" xfId="0" applyAlignment="1">
      <alignment horizontal="left"/>
    </xf>
    <xf numFmtId="8" fontId="0" fillId="0" borderId="0" xfId="0" applyNumberFormat="1"/>
    <xf numFmtId="164" fontId="0" fillId="0" borderId="0" xfId="0" applyNumberFormat="1"/>
    <xf numFmtId="43" fontId="0" fillId="0" borderId="0" xfId="2" applyFont="1"/>
    <xf numFmtId="0" fontId="2" fillId="0" borderId="0" xfId="0" applyFont="1" applyAlignment="1" applyProtection="1">
      <alignment vertical="center" wrapText="1"/>
      <protection hidden="1"/>
    </xf>
    <xf numFmtId="0" fontId="6" fillId="0" borderId="0" xfId="0" applyFont="1" applyAlignment="1">
      <alignment wrapText="1"/>
    </xf>
    <xf numFmtId="0" fontId="7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10" fillId="0" borderId="0" xfId="0" applyFont="1" applyProtection="1">
      <protection hidden="1"/>
    </xf>
    <xf numFmtId="0" fontId="0" fillId="0" borderId="0" xfId="0" applyProtection="1">
      <protection hidden="1"/>
    </xf>
    <xf numFmtId="0" fontId="7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12" fillId="0" borderId="0" xfId="0" applyFont="1" applyProtection="1">
      <protection hidden="1"/>
    </xf>
    <xf numFmtId="0" fontId="12" fillId="0" borderId="0" xfId="0" applyFont="1" applyAlignment="1" applyProtection="1">
      <alignment horizontal="right"/>
      <protection hidden="1"/>
    </xf>
    <xf numFmtId="169" fontId="0" fillId="0" borderId="0" xfId="3" applyNumberFormat="1" applyFont="1" applyFill="1" applyBorder="1" applyAlignment="1" applyProtection="1">
      <protection hidden="1"/>
    </xf>
    <xf numFmtId="10" fontId="0" fillId="0" borderId="0" xfId="0" applyNumberFormat="1" applyProtection="1">
      <protection hidden="1"/>
    </xf>
    <xf numFmtId="171" fontId="0" fillId="0" borderId="0" xfId="0" applyNumberFormat="1" applyProtection="1">
      <protection hidden="1"/>
    </xf>
    <xf numFmtId="0" fontId="10" fillId="0" borderId="0" xfId="0" applyFont="1" applyAlignment="1" applyProtection="1">
      <alignment horizontal="right"/>
      <protection hidden="1"/>
    </xf>
    <xf numFmtId="172" fontId="10" fillId="0" borderId="0" xfId="2" applyNumberFormat="1" applyFont="1" applyFill="1" applyBorder="1" applyAlignment="1" applyProtection="1">
      <protection hidden="1"/>
    </xf>
    <xf numFmtId="171" fontId="10" fillId="0" borderId="0" xfId="0" applyNumberFormat="1" applyFont="1" applyProtection="1">
      <protection hidden="1"/>
    </xf>
    <xf numFmtId="172" fontId="10" fillId="0" borderId="0" xfId="0" applyNumberFormat="1" applyFont="1" applyAlignment="1" applyProtection="1">
      <alignment horizontal="right"/>
      <protection hidden="1"/>
    </xf>
    <xf numFmtId="172" fontId="10" fillId="0" borderId="0" xfId="0" applyNumberFormat="1" applyFont="1" applyProtection="1">
      <protection hidden="1"/>
    </xf>
    <xf numFmtId="171" fontId="0" fillId="0" borderId="0" xfId="2" applyNumberFormat="1" applyFont="1" applyFill="1" applyBorder="1" applyAlignment="1" applyProtection="1">
      <protection hidden="1"/>
    </xf>
    <xf numFmtId="172" fontId="0" fillId="0" borderId="0" xfId="0" applyNumberFormat="1" applyProtection="1">
      <protection hidden="1"/>
    </xf>
    <xf numFmtId="172" fontId="0" fillId="0" borderId="0" xfId="2" applyNumberFormat="1" applyFont="1" applyFill="1" applyBorder="1" applyAlignment="1" applyProtection="1">
      <protection hidden="1"/>
    </xf>
    <xf numFmtId="173" fontId="0" fillId="0" borderId="0" xfId="0" applyNumberFormat="1" applyProtection="1">
      <protection hidden="1"/>
    </xf>
    <xf numFmtId="43" fontId="0" fillId="0" borderId="0" xfId="2" applyFont="1" applyFill="1" applyBorder="1" applyAlignment="1" applyProtection="1">
      <protection hidden="1"/>
    </xf>
    <xf numFmtId="0" fontId="15" fillId="0" borderId="0" xfId="0" applyFont="1" applyAlignment="1" applyProtection="1">
      <alignment horizontal="right"/>
      <protection hidden="1"/>
    </xf>
    <xf numFmtId="171" fontId="0" fillId="0" borderId="11" xfId="0" applyNumberFormat="1" applyBorder="1" applyProtection="1">
      <protection hidden="1"/>
    </xf>
    <xf numFmtId="0" fontId="12" fillId="7" borderId="0" xfId="0" applyFont="1" applyFill="1" applyAlignment="1" applyProtection="1">
      <alignment horizontal="right"/>
      <protection hidden="1"/>
    </xf>
    <xf numFmtId="171" fontId="12" fillId="7" borderId="0" xfId="0" applyNumberFormat="1" applyFont="1" applyFill="1" applyProtection="1">
      <protection hidden="1"/>
    </xf>
    <xf numFmtId="168" fontId="9" fillId="7" borderId="10" xfId="0" applyNumberFormat="1" applyFont="1" applyFill="1" applyBorder="1" applyAlignment="1" applyProtection="1">
      <alignment vertical="center"/>
      <protection hidden="1"/>
    </xf>
    <xf numFmtId="10" fontId="13" fillId="0" borderId="0" xfId="0" applyNumberFormat="1" applyFont="1"/>
    <xf numFmtId="170" fontId="13" fillId="0" borderId="0" xfId="0" applyNumberFormat="1" applyFont="1"/>
    <xf numFmtId="43" fontId="13" fillId="0" borderId="0" xfId="2" applyFont="1" applyFill="1" applyBorder="1" applyAlignment="1" applyProtection="1"/>
    <xf numFmtId="1" fontId="13" fillId="0" borderId="0" xfId="0" applyNumberFormat="1" applyFont="1"/>
    <xf numFmtId="10" fontId="13" fillId="0" borderId="0" xfId="3" applyNumberFormat="1" applyFont="1" applyProtection="1"/>
    <xf numFmtId="10" fontId="0" fillId="0" borderId="0" xfId="0" applyNumberFormat="1"/>
    <xf numFmtId="171" fontId="0" fillId="0" borderId="0" xfId="0" applyNumberFormat="1"/>
    <xf numFmtId="3" fontId="3" fillId="2" borderId="1" xfId="0" applyNumberFormat="1" applyFont="1" applyFill="1" applyBorder="1" applyAlignment="1">
      <alignment vertical="center"/>
    </xf>
    <xf numFmtId="166" fontId="3" fillId="2" borderId="1" xfId="0" applyNumberFormat="1" applyFont="1" applyFill="1" applyBorder="1" applyAlignment="1">
      <alignment vertical="center"/>
    </xf>
    <xf numFmtId="167" fontId="0" fillId="0" borderId="1" xfId="2" applyNumberFormat="1" applyFont="1" applyBorder="1" applyProtection="1"/>
    <xf numFmtId="43" fontId="0" fillId="0" borderId="1" xfId="2" applyFont="1" applyBorder="1" applyProtection="1"/>
    <xf numFmtId="43" fontId="0" fillId="0" borderId="1" xfId="2" applyFont="1" applyBorder="1" applyAlignment="1" applyProtection="1">
      <alignment horizontal="right"/>
    </xf>
    <xf numFmtId="0" fontId="19" fillId="3" borderId="1" xfId="0" applyFont="1" applyFill="1" applyBorder="1"/>
    <xf numFmtId="0" fontId="19" fillId="0" borderId="1" xfId="0" applyFont="1" applyBorder="1"/>
    <xf numFmtId="9" fontId="21" fillId="0" borderId="6" xfId="3" applyFont="1" applyFill="1" applyBorder="1" applyAlignment="1" applyProtection="1">
      <alignment vertical="center"/>
      <protection locked="0"/>
    </xf>
    <xf numFmtId="9" fontId="19" fillId="0" borderId="6" xfId="3" applyFont="1" applyFill="1" applyBorder="1" applyAlignment="1" applyProtection="1">
      <alignment vertical="center"/>
    </xf>
    <xf numFmtId="1" fontId="21" fillId="0" borderId="6" xfId="2" applyNumberFormat="1" applyFont="1" applyFill="1" applyBorder="1" applyAlignment="1" applyProtection="1">
      <alignment vertical="center"/>
      <protection locked="0"/>
    </xf>
    <xf numFmtId="10" fontId="19" fillId="0" borderId="6" xfId="3" applyNumberFormat="1" applyFont="1" applyFill="1" applyBorder="1" applyAlignment="1" applyProtection="1">
      <alignment vertical="center"/>
    </xf>
    <xf numFmtId="0" fontId="19" fillId="0" borderId="8" xfId="0" applyFont="1" applyBorder="1"/>
    <xf numFmtId="0" fontId="19" fillId="0" borderId="5" xfId="0" applyFont="1" applyBorder="1"/>
    <xf numFmtId="0" fontId="21" fillId="0" borderId="7" xfId="0" applyFont="1" applyBorder="1" applyAlignment="1" applyProtection="1">
      <alignment vertical="center" wrapText="1"/>
      <protection locked="0"/>
    </xf>
    <xf numFmtId="0" fontId="21" fillId="0" borderId="1" xfId="0" applyFont="1" applyBorder="1" applyAlignment="1" applyProtection="1">
      <alignment vertical="center" wrapText="1"/>
      <protection locked="0"/>
    </xf>
    <xf numFmtId="0" fontId="19" fillId="0" borderId="6" xfId="0" applyFont="1" applyBorder="1" applyAlignment="1">
      <alignment vertical="center" wrapText="1"/>
    </xf>
    <xf numFmtId="1" fontId="19" fillId="0" borderId="1" xfId="0" applyNumberFormat="1" applyFont="1" applyBorder="1" applyAlignment="1">
      <alignment vertical="center"/>
    </xf>
    <xf numFmtId="0" fontId="19" fillId="0" borderId="8" xfId="0" applyFont="1" applyBorder="1" applyAlignment="1">
      <alignment vertical="center" wrapText="1"/>
    </xf>
    <xf numFmtId="10" fontId="19" fillId="0" borderId="1" xfId="0" applyNumberFormat="1" applyFont="1" applyBorder="1" applyAlignment="1">
      <alignment vertical="center"/>
    </xf>
    <xf numFmtId="10" fontId="19" fillId="0" borderId="6" xfId="0" applyNumberFormat="1" applyFont="1" applyBorder="1" applyAlignment="1">
      <alignment vertical="center"/>
    </xf>
    <xf numFmtId="10" fontId="21" fillId="0" borderId="7" xfId="3" applyNumberFormat="1" applyFont="1" applyFill="1" applyBorder="1" applyAlignment="1" applyProtection="1">
      <alignment vertical="center"/>
      <protection locked="0"/>
    </xf>
    <xf numFmtId="10" fontId="19" fillId="0" borderId="8" xfId="3" applyNumberFormat="1" applyFont="1" applyFill="1" applyBorder="1" applyAlignment="1" applyProtection="1">
      <alignment horizontal="right" vertical="center"/>
    </xf>
    <xf numFmtId="0" fontId="19" fillId="3" borderId="1" xfId="0" applyFont="1" applyFill="1" applyBorder="1" applyAlignment="1" applyProtection="1">
      <alignment horizontal="left" vertical="center"/>
      <protection hidden="1"/>
    </xf>
    <xf numFmtId="43" fontId="19" fillId="3" borderId="1" xfId="2" applyFont="1" applyFill="1" applyBorder="1" applyAlignment="1" applyProtection="1">
      <alignment vertical="center"/>
    </xf>
    <xf numFmtId="3" fontId="19" fillId="3" borderId="1" xfId="0" applyNumberFormat="1" applyFont="1" applyFill="1" applyBorder="1" applyAlignment="1" applyProtection="1">
      <alignment horizontal="left" vertical="center"/>
      <protection hidden="1"/>
    </xf>
    <xf numFmtId="43" fontId="19" fillId="3" borderId="1" xfId="2" applyFont="1" applyFill="1" applyBorder="1" applyAlignment="1" applyProtection="1">
      <alignment horizontal="right" vertical="center"/>
    </xf>
    <xf numFmtId="3" fontId="22" fillId="4" borderId="9" xfId="0" applyNumberFormat="1" applyFont="1" applyFill="1" applyBorder="1" applyAlignment="1" applyProtection="1">
      <alignment horizontal="left" vertical="center"/>
      <protection hidden="1"/>
    </xf>
    <xf numFmtId="43" fontId="22" fillId="4" borderId="9" xfId="2" applyFont="1" applyFill="1" applyBorder="1" applyAlignment="1" applyProtection="1">
      <alignment horizontal="right" vertical="center"/>
    </xf>
    <xf numFmtId="3" fontId="19" fillId="0" borderId="7" xfId="0" applyNumberFormat="1" applyFont="1" applyBorder="1" applyAlignment="1" applyProtection="1">
      <alignment horizontal="left" vertical="center"/>
      <protection hidden="1"/>
    </xf>
    <xf numFmtId="10" fontId="21" fillId="0" borderId="7" xfId="3" applyNumberFormat="1" applyFont="1" applyFill="1" applyBorder="1" applyAlignment="1" applyProtection="1">
      <alignment horizontal="right" vertical="center"/>
      <protection locked="0"/>
    </xf>
    <xf numFmtId="3" fontId="22" fillId="5" borderId="8" xfId="0" applyNumberFormat="1" applyFont="1" applyFill="1" applyBorder="1" applyAlignment="1" applyProtection="1">
      <alignment horizontal="left" vertical="center"/>
      <protection hidden="1"/>
    </xf>
    <xf numFmtId="43" fontId="22" fillId="5" borderId="8" xfId="2" applyFont="1" applyFill="1" applyBorder="1" applyAlignment="1" applyProtection="1">
      <alignment horizontal="right" vertical="center"/>
    </xf>
    <xf numFmtId="3" fontId="22" fillId="6" borderId="5" xfId="0" applyNumberFormat="1" applyFont="1" applyFill="1" applyBorder="1" applyAlignment="1" applyProtection="1">
      <alignment horizontal="left" vertical="center"/>
      <protection hidden="1"/>
    </xf>
    <xf numFmtId="43" fontId="22" fillId="6" borderId="5" xfId="2" applyFont="1" applyFill="1" applyBorder="1" applyAlignment="1" applyProtection="1">
      <alignment horizontal="right" vertical="center"/>
    </xf>
    <xf numFmtId="0" fontId="23" fillId="0" borderId="0" xfId="0" applyFont="1" applyAlignment="1" applyProtection="1">
      <alignment vertical="center" wrapText="1"/>
      <protection hidden="1"/>
    </xf>
    <xf numFmtId="0" fontId="22" fillId="0" borderId="0" xfId="0" applyFont="1" applyAlignment="1" applyProtection="1">
      <alignment vertical="center" wrapText="1"/>
      <protection hidden="1"/>
    </xf>
    <xf numFmtId="0" fontId="19" fillId="0" borderId="0" xfId="0" applyFont="1"/>
    <xf numFmtId="0" fontId="22" fillId="0" borderId="0" xfId="0" applyFont="1" applyAlignment="1" applyProtection="1">
      <alignment horizontal="center" vertical="center"/>
      <protection hidden="1"/>
    </xf>
    <xf numFmtId="0" fontId="19" fillId="0" borderId="12" xfId="0" applyFont="1" applyBorder="1"/>
    <xf numFmtId="0" fontId="19" fillId="0" borderId="13" xfId="0" applyFont="1" applyBorder="1"/>
    <xf numFmtId="10" fontId="21" fillId="0" borderId="6" xfId="3" applyNumberFormat="1" applyFont="1" applyFill="1" applyBorder="1" applyAlignment="1" applyProtection="1">
      <alignment vertical="center"/>
      <protection locked="0"/>
    </xf>
    <xf numFmtId="0" fontId="21" fillId="0" borderId="1" xfId="0" applyFont="1" applyBorder="1" applyProtection="1">
      <protection locked="0"/>
    </xf>
    <xf numFmtId="0" fontId="21" fillId="0" borderId="5" xfId="0" applyFont="1" applyBorder="1" applyProtection="1">
      <protection locked="0"/>
    </xf>
    <xf numFmtId="174" fontId="21" fillId="0" borderId="1" xfId="2" applyNumberFormat="1" applyFont="1" applyBorder="1" applyProtection="1">
      <protection locked="0"/>
    </xf>
    <xf numFmtId="174" fontId="19" fillId="0" borderId="1" xfId="2" applyNumberFormat="1" applyFont="1" applyBorder="1" applyProtection="1"/>
    <xf numFmtId="10" fontId="19" fillId="0" borderId="1" xfId="2" applyNumberFormat="1" applyFont="1" applyBorder="1" applyProtection="1"/>
    <xf numFmtId="43" fontId="19" fillId="3" borderId="1" xfId="2" applyFont="1" applyFill="1" applyBorder="1" applyAlignment="1" applyProtection="1">
      <alignment horizontal="center" vertical="center"/>
    </xf>
    <xf numFmtId="43" fontId="19" fillId="0" borderId="1" xfId="2" applyFont="1" applyFill="1" applyBorder="1" applyAlignment="1" applyProtection="1">
      <alignment vertical="center"/>
    </xf>
    <xf numFmtId="0" fontId="5" fillId="0" borderId="0" xfId="0" applyFont="1" applyAlignment="1" applyProtection="1">
      <alignment horizontal="left" vertical="top"/>
      <protection hidden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4">
    <cellStyle name="Euro" xfId="1" xr:uid="{00000000-0005-0000-0000-000000000000}"/>
    <cellStyle name="Migliaia" xfId="2" builtinId="3"/>
    <cellStyle name="Normale" xfId="0" builtinId="0"/>
    <cellStyle name="Percentual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92773</xdr:rowOff>
    </xdr:from>
    <xdr:to>
      <xdr:col>0</xdr:col>
      <xdr:colOff>1313217</xdr:colOff>
      <xdr:row>43</xdr:row>
      <xdr:rowOff>59896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73BD8136-3036-46A4-B8A6-EA4A09DBD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331773"/>
          <a:ext cx="1313217" cy="65292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64769</xdr:rowOff>
    </xdr:from>
    <xdr:to>
      <xdr:col>4</xdr:col>
      <xdr:colOff>782581</xdr:colOff>
      <xdr:row>3</xdr:row>
      <xdr:rowOff>137159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682594E-AB77-4F12-A930-0BA9E1D5BEF2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t="91935" b="2703"/>
        <a:stretch/>
      </xdr:blipFill>
      <xdr:spPr bwMode="auto">
        <a:xfrm>
          <a:off x="0" y="64769"/>
          <a:ext cx="7573906" cy="58674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D37D6-AA66-47AB-9398-A7F163ED932F}">
  <dimension ref="A6:L39"/>
  <sheetViews>
    <sheetView tabSelected="1" topLeftCell="A20" zoomScale="115" zoomScaleNormal="115" workbookViewId="0">
      <selection activeCell="G31" sqref="G31"/>
    </sheetView>
  </sheetViews>
  <sheetFormatPr defaultRowHeight="13.2" x14ac:dyDescent="0.25"/>
  <cols>
    <col min="1" max="1" width="58.88671875" bestFit="1" customWidth="1"/>
    <col min="2" max="2" width="13.44140625" bestFit="1" customWidth="1"/>
    <col min="3" max="3" width="12.33203125" bestFit="1" customWidth="1"/>
    <col min="4" max="4" width="14.33203125" bestFit="1" customWidth="1"/>
    <col min="5" max="5" width="12" bestFit="1" customWidth="1"/>
    <col min="6" max="6" width="12.6640625" bestFit="1" customWidth="1"/>
    <col min="7" max="7" width="42.5546875" customWidth="1"/>
    <col min="8" max="8" width="2.109375" customWidth="1"/>
    <col min="9" max="9" width="8.88671875" hidden="1" customWidth="1"/>
    <col min="10" max="10" width="10.6640625" bestFit="1" customWidth="1"/>
    <col min="11" max="11" width="12.6640625" bestFit="1" customWidth="1"/>
    <col min="12" max="12" width="12.33203125" bestFit="1" customWidth="1"/>
    <col min="13" max="13" width="14.33203125" bestFit="1" customWidth="1"/>
    <col min="14" max="14" width="14" customWidth="1"/>
    <col min="15" max="15" width="13.6640625" customWidth="1"/>
    <col min="16" max="16" width="42.5546875" bestFit="1" customWidth="1"/>
    <col min="17" max="17" width="2.109375" bestFit="1" customWidth="1"/>
  </cols>
  <sheetData>
    <row r="6" spans="1:11" ht="14.4" x14ac:dyDescent="0.25">
      <c r="A6" s="75" t="s">
        <v>47</v>
      </c>
      <c r="B6" s="76"/>
      <c r="C6" s="6"/>
      <c r="D6" s="6"/>
      <c r="E6" s="6"/>
      <c r="F6" s="6"/>
      <c r="G6" s="6"/>
      <c r="H6" s="6"/>
      <c r="I6" s="6"/>
      <c r="J6" s="6"/>
      <c r="K6" s="6"/>
    </row>
    <row r="7" spans="1:11" ht="14.4" x14ac:dyDescent="0.3">
      <c r="A7" s="77"/>
      <c r="B7" s="78"/>
      <c r="C7" s="1"/>
      <c r="D7" s="1"/>
      <c r="E7" s="1"/>
      <c r="F7" s="1"/>
      <c r="G7" s="1"/>
      <c r="H7" s="1"/>
      <c r="I7" s="1"/>
      <c r="J7" s="1"/>
      <c r="K7" s="1"/>
    </row>
    <row r="8" spans="1:11" ht="14.4" x14ac:dyDescent="0.3">
      <c r="A8" s="47" t="s">
        <v>55</v>
      </c>
      <c r="B8" s="82" t="s">
        <v>61</v>
      </c>
      <c r="C8" s="1"/>
      <c r="E8" s="1"/>
      <c r="F8" s="1"/>
      <c r="G8" s="1"/>
      <c r="H8" s="1"/>
      <c r="I8" s="1"/>
      <c r="J8" s="1"/>
      <c r="K8" s="1"/>
    </row>
    <row r="9" spans="1:11" ht="14.4" x14ac:dyDescent="0.3">
      <c r="A9" s="79" t="s">
        <v>56</v>
      </c>
      <c r="B9" s="83" t="s">
        <v>68</v>
      </c>
      <c r="C9" s="1"/>
      <c r="E9" s="1"/>
      <c r="F9" s="1"/>
      <c r="G9" s="1"/>
      <c r="H9" s="1"/>
      <c r="I9" s="1"/>
      <c r="J9" s="1"/>
      <c r="K9" s="1"/>
    </row>
    <row r="10" spans="1:11" ht="14.4" x14ac:dyDescent="0.3">
      <c r="A10" s="79" t="s">
        <v>65</v>
      </c>
      <c r="B10" s="83" t="s">
        <v>67</v>
      </c>
      <c r="C10" s="1"/>
      <c r="E10" s="1"/>
      <c r="F10" s="1"/>
      <c r="G10" s="1"/>
      <c r="H10" s="1"/>
      <c r="I10" s="1"/>
      <c r="J10" s="1"/>
      <c r="K10" s="1"/>
    </row>
    <row r="11" spans="1:11" ht="14.4" x14ac:dyDescent="0.3">
      <c r="A11" s="79" t="s">
        <v>58</v>
      </c>
      <c r="B11" s="83" t="s">
        <v>57</v>
      </c>
      <c r="C11" s="1"/>
      <c r="E11" s="1"/>
      <c r="F11" s="1"/>
      <c r="G11" s="1"/>
      <c r="H11" s="1"/>
      <c r="I11" s="1"/>
      <c r="J11" s="1"/>
      <c r="K11" s="1"/>
    </row>
    <row r="12" spans="1:11" ht="14.4" x14ac:dyDescent="0.3">
      <c r="A12" s="79" t="s">
        <v>63</v>
      </c>
      <c r="B12" s="84">
        <v>200000</v>
      </c>
      <c r="C12" s="1"/>
      <c r="E12" s="1"/>
      <c r="F12" s="1"/>
      <c r="G12" s="1"/>
      <c r="H12" s="1"/>
      <c r="I12" s="1"/>
      <c r="J12" s="1"/>
      <c r="K12" s="1"/>
    </row>
    <row r="13" spans="1:11" ht="14.4" x14ac:dyDescent="0.3">
      <c r="A13" s="80" t="s">
        <v>64</v>
      </c>
      <c r="B13" s="85">
        <f>IF(B8="Industria",MIN(B12,160000),MIN(B12,80000))</f>
        <v>160000</v>
      </c>
      <c r="E13" s="1"/>
      <c r="F13" s="1"/>
      <c r="G13" s="1"/>
      <c r="H13" s="1"/>
      <c r="I13" s="1"/>
      <c r="J13" s="1"/>
      <c r="K13" s="1"/>
    </row>
    <row r="14" spans="1:11" ht="14.4" x14ac:dyDescent="0.3">
      <c r="A14" s="80" t="s">
        <v>59</v>
      </c>
      <c r="B14" s="86">
        <f>IF(B9="Investimenti",20%,10%)</f>
        <v>0.2</v>
      </c>
      <c r="E14" s="1"/>
      <c r="F14" s="1"/>
      <c r="G14" s="1"/>
      <c r="H14" s="1"/>
      <c r="I14" s="1"/>
      <c r="J14" s="1"/>
      <c r="K14" s="1"/>
    </row>
    <row r="15" spans="1:11" ht="14.4" x14ac:dyDescent="0.3">
      <c r="A15" s="46" t="s">
        <v>54</v>
      </c>
      <c r="B15" s="87">
        <f>B13*B14</f>
        <v>32000</v>
      </c>
      <c r="C15" s="1"/>
      <c r="E15" s="1"/>
      <c r="F15" s="1"/>
      <c r="G15" s="1"/>
      <c r="H15" s="1"/>
      <c r="I15" s="1" t="s">
        <v>53</v>
      </c>
      <c r="K15" s="1"/>
    </row>
    <row r="16" spans="1:11" ht="14.4" x14ac:dyDescent="0.3">
      <c r="A16" s="47" t="s">
        <v>17</v>
      </c>
      <c r="B16" s="88">
        <f>B13-B15</f>
        <v>128000</v>
      </c>
      <c r="C16" s="2"/>
      <c r="D16" s="2"/>
      <c r="E16" s="4"/>
      <c r="I16" s="1" t="s">
        <v>52</v>
      </c>
    </row>
    <row r="17" spans="1:12" ht="14.4" x14ac:dyDescent="0.3">
      <c r="A17" s="47" t="s">
        <v>60</v>
      </c>
      <c r="B17" s="48">
        <v>0.65</v>
      </c>
      <c r="C17" s="2"/>
      <c r="D17" s="2"/>
      <c r="E17" s="4"/>
      <c r="I17" s="1"/>
    </row>
    <row r="18" spans="1:12" ht="14.4" x14ac:dyDescent="0.3">
      <c r="A18" s="47" t="s">
        <v>49</v>
      </c>
      <c r="B18" s="48">
        <v>0.05</v>
      </c>
      <c r="C18" s="89" t="str">
        <f>IF(AND(B11="Sì",B19&gt;70%),"ATTENZIONE - LA PERCENTUALE DI GARANZIA DI I GRADO NON PUO' RISULTARE SUPERIORE AL 70% IN CASO DI COGARANZIA FCG"," ")</f>
        <v xml:space="preserve"> </v>
      </c>
      <c r="D18" s="2"/>
      <c r="E18" s="4"/>
    </row>
    <row r="19" spans="1:12" ht="14.4" x14ac:dyDescent="0.3">
      <c r="A19" s="47" t="s">
        <v>48</v>
      </c>
      <c r="B19" s="49">
        <f>+B17+B18</f>
        <v>0.70000000000000007</v>
      </c>
      <c r="C19" s="89" t="str">
        <f>IF(AND(B11="NO",B18&gt;0%),"ATTENZIONE - E' STATO VALORIZZATO IL CAMPO Percentuale garanzia I grado con FCG (se presente) MA NON E' STATO VALORIZZATO CON SI IL CAMPO Presenza FCG",
IF(AND(B11="Sì",B18=0%),"ATTENZIONE - NON E' STATO VALORIZZATO IL CAMPO Percentuale garanzia I grado con FCG (se presente) MA E' STATO VALORIZZATO CON SI IL CAMPO Presenza FCG",
" "))</f>
        <v xml:space="preserve"> </v>
      </c>
      <c r="E19" s="4"/>
    </row>
    <row r="20" spans="1:12" ht="14.4" x14ac:dyDescent="0.3">
      <c r="A20" s="47" t="s">
        <v>19</v>
      </c>
      <c r="B20" s="81">
        <v>3.5999999999999997E-2</v>
      </c>
      <c r="C20" s="2"/>
      <c r="D20" s="2"/>
      <c r="E20" s="4"/>
    </row>
    <row r="21" spans="1:12" ht="14.4" x14ac:dyDescent="0.3">
      <c r="A21" s="47" t="s">
        <v>22</v>
      </c>
      <c r="B21" s="50">
        <v>96</v>
      </c>
      <c r="C21" s="2"/>
      <c r="D21" s="2"/>
      <c r="E21" s="4"/>
    </row>
    <row r="22" spans="1:12" ht="14.4" x14ac:dyDescent="0.3">
      <c r="A22" s="47" t="s">
        <v>50</v>
      </c>
      <c r="B22" s="51">
        <f>MIN(B20,
MIN(IF(B9="Investimenti",2.5%,2%),B20)+IF(AND(B9="Investimenti",B10="Sì"),1%,0))</f>
        <v>2.5000000000000001E-2</v>
      </c>
      <c r="C22" s="2"/>
      <c r="D22" s="2"/>
      <c r="E22" s="4"/>
    </row>
    <row r="23" spans="1:12" ht="15" thickBot="1" x14ac:dyDescent="0.35">
      <c r="A23" s="52" t="s">
        <v>51</v>
      </c>
      <c r="B23" s="51">
        <f>MIN(B20,
MIN(IF(B9="Investimenti",2.5%,2%),B20)+IF(AND(B9="Investimenti",B10="Sì"),1%,0))</f>
        <v>2.5000000000000001E-2</v>
      </c>
      <c r="C23" s="2"/>
      <c r="D23" s="2"/>
    </row>
    <row r="24" spans="1:12" ht="15" customHeight="1" x14ac:dyDescent="0.3">
      <c r="A24" s="53" t="s">
        <v>9</v>
      </c>
      <c r="B24" s="54">
        <v>12</v>
      </c>
      <c r="C24" s="2"/>
      <c r="D24" s="2"/>
    </row>
    <row r="25" spans="1:12" ht="14.4" x14ac:dyDescent="0.3">
      <c r="A25" s="47" t="s">
        <v>20</v>
      </c>
      <c r="B25" s="55">
        <v>12</v>
      </c>
      <c r="C25" s="2"/>
      <c r="D25" s="2"/>
    </row>
    <row r="26" spans="1:12" ht="15" thickBot="1" x14ac:dyDescent="0.35">
      <c r="A26" s="52" t="s">
        <v>11</v>
      </c>
      <c r="B26" s="56">
        <f>B24*B25/12</f>
        <v>12</v>
      </c>
      <c r="C26" s="2"/>
      <c r="D26" s="2"/>
    </row>
    <row r="27" spans="1:12" ht="14.4" x14ac:dyDescent="0.3">
      <c r="A27" s="53" t="s">
        <v>10</v>
      </c>
      <c r="B27" s="54">
        <v>12</v>
      </c>
      <c r="C27" s="2"/>
      <c r="D27" s="2"/>
    </row>
    <row r="28" spans="1:12" ht="14.4" x14ac:dyDescent="0.3">
      <c r="A28" s="47" t="s">
        <v>21</v>
      </c>
      <c r="B28" s="57">
        <f>B21-B25</f>
        <v>84</v>
      </c>
      <c r="C28" s="2"/>
      <c r="D28" s="2"/>
    </row>
    <row r="29" spans="1:12" ht="15" thickBot="1" x14ac:dyDescent="0.35">
      <c r="A29" s="52" t="s">
        <v>12</v>
      </c>
      <c r="B29" s="58">
        <f>B27*B28/12</f>
        <v>84</v>
      </c>
      <c r="C29" s="2"/>
      <c r="D29" s="2"/>
      <c r="F29" s="5"/>
      <c r="L29" s="3"/>
    </row>
    <row r="30" spans="1:12" ht="14.4" x14ac:dyDescent="0.3">
      <c r="A30" s="53" t="s">
        <v>15</v>
      </c>
      <c r="B30" s="59">
        <f>IFERROR(B22/B24,0)</f>
        <v>2.0833333333333333E-3</v>
      </c>
    </row>
    <row r="31" spans="1:12" ht="15" thickBot="1" x14ac:dyDescent="0.35">
      <c r="A31" s="52" t="s">
        <v>14</v>
      </c>
      <c r="B31" s="60">
        <f>B23/B27</f>
        <v>2.0833333333333333E-3</v>
      </c>
    </row>
    <row r="32" spans="1:12" ht="14.4" x14ac:dyDescent="0.3">
      <c r="A32" s="53" t="s">
        <v>18</v>
      </c>
      <c r="B32" s="61">
        <v>2.2100000000000002E-2</v>
      </c>
    </row>
    <row r="33" spans="1:2" ht="15" thickBot="1" x14ac:dyDescent="0.35">
      <c r="A33" s="52" t="s">
        <v>23</v>
      </c>
      <c r="B33" s="62">
        <v>0.01</v>
      </c>
    </row>
    <row r="34" spans="1:2" ht="14.4" x14ac:dyDescent="0.25">
      <c r="A34" s="63" t="s">
        <v>66</v>
      </c>
      <c r="B34" s="64">
        <f>MIN(4000,B16*B19*B21/12*0.6%)</f>
        <v>4000</v>
      </c>
    </row>
    <row r="35" spans="1:2" ht="14.4" x14ac:dyDescent="0.25">
      <c r="A35" s="65" t="s">
        <v>16</v>
      </c>
      <c r="B35" s="66">
        <f>MIN(IF(B9="Investimenti",IF(B10="Sì",10000,8000),3000),SUM('FNCINVLIQ_contributo interessi'!G3:G14,'FNCINVLIQ_contributo interessi'!P3:P98))</f>
        <v>8000</v>
      </c>
    </row>
    <row r="36" spans="1:2" ht="15" thickBot="1" x14ac:dyDescent="0.3">
      <c r="A36" s="67" t="s">
        <v>25</v>
      </c>
      <c r="B36" s="68">
        <f>B35+B34+B15</f>
        <v>44000</v>
      </c>
    </row>
    <row r="37" spans="1:2" ht="14.4" x14ac:dyDescent="0.25">
      <c r="A37" s="69" t="s">
        <v>46</v>
      </c>
      <c r="B37" s="70">
        <v>1.17E-2</v>
      </c>
    </row>
    <row r="38" spans="1:2" ht="15" thickBot="1" x14ac:dyDescent="0.3">
      <c r="A38" s="71" t="s">
        <v>62</v>
      </c>
      <c r="B38" s="72">
        <f>'FNCINVLIQ_ESL riassicurazione'!D1</f>
        <v>753.68317916062051</v>
      </c>
    </row>
    <row r="39" spans="1:2" ht="14.4" x14ac:dyDescent="0.25">
      <c r="A39" s="73" t="s">
        <v>24</v>
      </c>
      <c r="B39" s="74">
        <f>+B36+B38</f>
        <v>44753.683179160624</v>
      </c>
    </row>
  </sheetData>
  <sheetProtection algorithmName="SHA-512" hashValue="RmZMOyqIR5wZxMhkX9eDcd/8KxlEjn/xENdcprJnXvS8DgmNMPmctHddggo8u6kCybkNrrO8zErR2z81MLIQdg==" saltValue="FLx1p+4B/4kVVtmSH0I4fg==" spinCount="100000" sheet="1" objects="1" scenarios="1"/>
  <dataValidations count="14">
    <dataValidation type="decimal" allowBlank="1" showInputMessage="1" showErrorMessage="1" sqref="B16" xr:uid="{847BB09A-D7A7-4F3F-A5B3-D8FFC1AC0442}">
      <formula1>15000</formula1>
      <formula2>200000</formula2>
    </dataValidation>
    <dataValidation type="whole" operator="lessThanOrEqual" allowBlank="1" showInputMessage="1" showErrorMessage="1" sqref="B28 B21" xr:uid="{BDFD8104-B32A-496A-A62B-9AC0E93EE3E3}">
      <formula1>96</formula1>
    </dataValidation>
    <dataValidation type="whole" operator="lessThanOrEqual" allowBlank="1" showInputMessage="1" showErrorMessage="1" sqref="B25" xr:uid="{E293D140-E769-4A2D-BAFD-5334441CBA0B}">
      <formula1>12</formula1>
    </dataValidation>
    <dataValidation type="decimal" operator="lessThanOrEqual" allowBlank="1" showInputMessage="1" showErrorMessage="1" sqref="B23" xr:uid="{EA2CC33E-A74D-48D9-AFD9-71C3F902A7A0}">
      <formula1>0.05</formula1>
    </dataValidation>
    <dataValidation type="decimal" operator="lessThanOrEqual" allowBlank="1" showInputMessage="1" showErrorMessage="1" sqref="B22" xr:uid="{E74F8D87-E86D-43B2-8405-69B7BF3AEB7C}">
      <formula1>0.0475</formula1>
    </dataValidation>
    <dataValidation type="decimal" operator="lessThanOrEqual" allowBlank="1" showInputMessage="1" showErrorMessage="1" sqref="B17:B19" xr:uid="{3996F018-B97D-484B-BF9F-0296A560B9AB}">
      <formula1>0.8</formula1>
    </dataValidation>
    <dataValidation type="decimal" operator="greaterThan" allowBlank="1" showInputMessage="1" showErrorMessage="1" sqref="B20" xr:uid="{2003503F-71EC-43D0-AB61-0DD0F656F4D3}">
      <formula1>0</formula1>
    </dataValidation>
    <dataValidation type="list" allowBlank="1" showInputMessage="1" showErrorMessage="1" sqref="K4" xr:uid="{A4A403CA-9FE2-4789-8C9B-301C33BC9757}">
      <formula1>$I$15:$I$16</formula1>
    </dataValidation>
    <dataValidation type="list" allowBlank="1" showInputMessage="1" showErrorMessage="1" sqref="B10:B11" xr:uid="{52A12696-FF49-4DE8-87F7-BDCB9FB0C4B6}">
      <formula1>"Sì,No"</formula1>
    </dataValidation>
    <dataValidation type="list" allowBlank="1" showInputMessage="1" showErrorMessage="1" sqref="B8" xr:uid="{2AF79C6B-04A1-4149-94C9-CED1CA97630E}">
      <formula1>"Artigianato-Commercio-Ristorazione-Turismo-Servizi,Industria"</formula1>
    </dataValidation>
    <dataValidation type="list" allowBlank="1" showInputMessage="1" showErrorMessage="1" sqref="B9" xr:uid="{D08A551E-88EA-49FF-9A30-41F96153C4A8}">
      <formula1>"Investimenti,Liquidità"</formula1>
    </dataValidation>
    <dataValidation type="decimal" operator="greaterThanOrEqual" allowBlank="1" showInputMessage="1" showErrorMessage="1" sqref="B13 B12" xr:uid="{2E67ACD4-595E-4E62-913E-BA55114C7498}">
      <formula1>15000</formula1>
    </dataValidation>
    <dataValidation operator="greaterThanOrEqual" allowBlank="1" showInputMessage="1" showErrorMessage="1" sqref="B14" xr:uid="{4E40F818-D32A-4A33-94B5-3CA65EB569AE}"/>
    <dataValidation type="decimal" operator="lessThanOrEqual" allowBlank="1" showInputMessage="1" showErrorMessage="1" sqref="B34" xr:uid="{AE4603B0-1958-416E-A7CB-A1342B2094A9}">
      <formula1>5000</formula1>
    </dataValidation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2822206-5255-48F6-8015-1A90087A8FEA}">
          <x14:formula1>
            <xm:f>'Frequenza rate'!$A$2:$A$7</xm:f>
          </x14:formula1>
          <xm:sqref>B24</xm:sqref>
        </x14:dataValidation>
        <x14:dataValidation type="list" allowBlank="1" showInputMessage="1" showErrorMessage="1" xr:uid="{C53B32A2-916A-496A-B556-3710E85EFDEA}">
          <x14:formula1>
            <xm:f>'Frequenza rate'!$A$2:$A$6</xm:f>
          </x14:formula1>
          <xm:sqref>B27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5B3AC-52E0-468F-82BB-85CA4A8EFFCA}">
  <dimension ref="A1:Q98"/>
  <sheetViews>
    <sheetView zoomScale="85" zoomScaleNormal="85" workbookViewId="0">
      <selection activeCell="F22" sqref="F22"/>
    </sheetView>
  </sheetViews>
  <sheetFormatPr defaultRowHeight="13.2" x14ac:dyDescent="0.25"/>
  <cols>
    <col min="1" max="1" width="10.6640625" bestFit="1" customWidth="1"/>
    <col min="2" max="2" width="12.6640625" bestFit="1" customWidth="1"/>
    <col min="3" max="3" width="12.33203125" bestFit="1" customWidth="1"/>
    <col min="4" max="4" width="14.33203125" bestFit="1" customWidth="1"/>
    <col min="5" max="5" width="12" bestFit="1" customWidth="1"/>
    <col min="6" max="6" width="12.6640625" bestFit="1" customWidth="1"/>
    <col min="7" max="7" width="40.5546875" customWidth="1"/>
    <col min="8" max="8" width="2" bestFit="1" customWidth="1"/>
    <col min="9" max="9" width="5.33203125" customWidth="1"/>
    <col min="10" max="10" width="10.6640625" bestFit="1" customWidth="1"/>
    <col min="11" max="11" width="12.6640625" bestFit="1" customWidth="1"/>
    <col min="12" max="12" width="12.33203125" bestFit="1" customWidth="1"/>
    <col min="13" max="13" width="14.33203125" bestFit="1" customWidth="1"/>
    <col min="14" max="14" width="12" bestFit="1" customWidth="1"/>
    <col min="15" max="15" width="12.6640625" bestFit="1" customWidth="1"/>
    <col min="16" max="16" width="39.6640625" customWidth="1"/>
    <col min="17" max="17" width="2" bestFit="1" customWidth="1"/>
  </cols>
  <sheetData>
    <row r="1" spans="1:17" ht="13.8" x14ac:dyDescent="0.25">
      <c r="A1" s="90" t="s">
        <v>0</v>
      </c>
      <c r="B1" s="91"/>
      <c r="C1" s="91"/>
      <c r="D1" s="91"/>
      <c r="E1" s="91"/>
      <c r="F1" s="91"/>
      <c r="G1" s="92"/>
      <c r="J1" s="90" t="s">
        <v>8</v>
      </c>
      <c r="K1" s="91"/>
      <c r="L1" s="91"/>
      <c r="M1" s="91"/>
      <c r="N1" s="91"/>
      <c r="O1" s="91"/>
      <c r="P1" s="92"/>
    </row>
    <row r="2" spans="1:17" ht="13.8" x14ac:dyDescent="0.25">
      <c r="A2" s="41" t="s">
        <v>2</v>
      </c>
      <c r="B2" s="41" t="s">
        <v>3</v>
      </c>
      <c r="C2" s="41" t="s">
        <v>4</v>
      </c>
      <c r="D2" s="41" t="s">
        <v>5</v>
      </c>
      <c r="E2" s="41" t="s">
        <v>6</v>
      </c>
      <c r="F2" s="41" t="s">
        <v>7</v>
      </c>
      <c r="G2" s="42" t="s">
        <v>1</v>
      </c>
      <c r="J2" s="41" t="s">
        <v>2</v>
      </c>
      <c r="K2" s="41" t="s">
        <v>3</v>
      </c>
      <c r="L2" s="41" t="s">
        <v>4</v>
      </c>
      <c r="M2" s="41" t="s">
        <v>5</v>
      </c>
      <c r="N2" s="41" t="s">
        <v>6</v>
      </c>
      <c r="O2" s="41" t="s">
        <v>7</v>
      </c>
      <c r="P2" s="42" t="s">
        <v>1</v>
      </c>
    </row>
    <row r="3" spans="1:17" x14ac:dyDescent="0.25">
      <c r="A3" s="43">
        <f>IF('FNCINVLIQ_prospetto riassuntivo'!B26=0,0,1)</f>
        <v>1</v>
      </c>
      <c r="B3" s="44">
        <f>'FNCINVLIQ_prospetto riassuntivo'!$B$16*'FNCINVLIQ_prospetto riassuntivo'!$B$30*H3</f>
        <v>266.66666666666669</v>
      </c>
      <c r="C3" s="44">
        <v>0</v>
      </c>
      <c r="D3" s="44">
        <f t="shared" ref="D3:D14" si="0">B3</f>
        <v>266.66666666666669</v>
      </c>
      <c r="E3" s="44">
        <v>0</v>
      </c>
      <c r="F3" s="44">
        <f>'FNCINVLIQ_prospetto riassuntivo'!$B$16</f>
        <v>128000</v>
      </c>
      <c r="G3" s="44">
        <f>B3/((1+IFERROR(SUM('FNCINVLIQ_prospetto riassuntivo'!$B$32,'FNCINVLIQ_prospetto riassuntivo'!$B$33)/'FNCINVLIQ_prospetto riassuntivo'!$B$24,0))^A3)</f>
        <v>265.95523640927189</v>
      </c>
      <c r="H3">
        <f>IF(A3=0,0,IF(OR(A3&lt;'FNCINVLIQ_prospetto riassuntivo'!$B$26,A3='FNCINVLIQ_prospetto riassuntivo'!$B$26),1,0))</f>
        <v>1</v>
      </c>
      <c r="J3" s="43">
        <f>MAX(A3:A38)+1</f>
        <v>13</v>
      </c>
      <c r="K3" s="44">
        <f>'FNCINVLIQ_prospetto riassuntivo'!$B$16*'FNCINVLIQ_prospetto riassuntivo'!$B$31*Q3</f>
        <v>266.66666666666669</v>
      </c>
      <c r="L3" s="44">
        <f t="shared" ref="L3:L34" si="1">M3-K3</f>
        <v>1395.9458077439181</v>
      </c>
      <c r="M3" s="44">
        <f>-PMT('FNCINVLIQ_prospetto riassuntivo'!B31,'FNCINVLIQ_prospetto riassuntivo'!B29,'FNCINVLIQ_prospetto riassuntivo'!B16,,0)</f>
        <v>1662.6124744105848</v>
      </c>
      <c r="N3" s="44">
        <f>(L3)*Q3</f>
        <v>1395.9458077439181</v>
      </c>
      <c r="O3" s="44">
        <f>('FNCINVLIQ_prospetto riassuntivo'!$B$16-N3)*Q3</f>
        <v>126604.05419225608</v>
      </c>
      <c r="P3" s="44">
        <f>K3/(1+SUM('FNCINVLIQ_prospetto riassuntivo'!$B$32:$B$33)/'FNCINVLIQ_prospetto riassuntivo'!$B$27)^J3</f>
        <v>257.56467864893875</v>
      </c>
      <c r="Q3">
        <f>IF(J3=0,0,IF(OR(J3&lt;'FNCINVLIQ_prospetto riassuntivo'!$B$26+'FNCINVLIQ_prospetto riassuntivo'!$B$29,J3='FNCINVLIQ_prospetto riassuntivo'!$B$26+'FNCINVLIQ_prospetto riassuntivo'!$B$29),1,0))</f>
        <v>1</v>
      </c>
    </row>
    <row r="4" spans="1:17" x14ac:dyDescent="0.25">
      <c r="A4" s="43">
        <f>IF(A3=0,0,IF('FNCINVLIQ_prospetto riassuntivo'!$B$26&gt;A3,A3+1,0))</f>
        <v>2</v>
      </c>
      <c r="B4" s="44">
        <f>'FNCINVLIQ_prospetto riassuntivo'!$B$16*'FNCINVLIQ_prospetto riassuntivo'!$B$30*H4</f>
        <v>266.66666666666669</v>
      </c>
      <c r="C4" s="44">
        <v>0</v>
      </c>
      <c r="D4" s="44">
        <f t="shared" si="0"/>
        <v>266.66666666666669</v>
      </c>
      <c r="E4" s="44">
        <v>0</v>
      </c>
      <c r="F4" s="44">
        <f>'FNCINVLIQ_prospetto riassuntivo'!$B$16</f>
        <v>128000</v>
      </c>
      <c r="G4" s="44">
        <f>B4/((1+IFERROR(SUM('FNCINVLIQ_prospetto riassuntivo'!$B$32,'FNCINVLIQ_prospetto riassuntivo'!$B$33)/'FNCINVLIQ_prospetto riassuntivo'!$B$24,0))^A4)</f>
        <v>265.24570415066881</v>
      </c>
      <c r="H4">
        <f>IF(A4=0,0,IF(OR(A4&lt;'FNCINVLIQ_prospetto riassuntivo'!$B$26,A4='FNCINVLIQ_prospetto riassuntivo'!$B$26),1,0))</f>
        <v>1</v>
      </c>
      <c r="J4" s="43">
        <f>IF(J3=0,0,IF('FNCINVLIQ_prospetto riassuntivo'!$B$26+'FNCINVLIQ_prospetto riassuntivo'!$B$29&gt;J3,J3+1,0))</f>
        <v>14</v>
      </c>
      <c r="K4" s="44">
        <f>O3*'FNCINVLIQ_prospetto riassuntivo'!$B$31*Q4</f>
        <v>263.75844623386683</v>
      </c>
      <c r="L4" s="44">
        <f t="shared" si="1"/>
        <v>1398.854028176718</v>
      </c>
      <c r="M4" s="44">
        <f t="shared" ref="M4:M35" si="2">$M$3*Q4</f>
        <v>1662.6124744105848</v>
      </c>
      <c r="N4" s="45">
        <f t="shared" ref="N4:N35" si="3">(L4+N3)*Q4</f>
        <v>2794.7998359206358</v>
      </c>
      <c r="O4" s="44">
        <f>('FNCINVLIQ_prospetto riassuntivo'!$B$16-N4)*Q4</f>
        <v>125205.20016407936</v>
      </c>
      <c r="P4" s="44">
        <f>K4/(1+SUM('FNCINVLIQ_prospetto riassuntivo'!$B$32:$B$33)/'FNCINVLIQ_prospetto riassuntivo'!$B$27)^J4</f>
        <v>254.07606943364982</v>
      </c>
      <c r="Q4">
        <f>IF(J4=0,0,IF(OR(J4&lt;'FNCINVLIQ_prospetto riassuntivo'!$B$26+'FNCINVLIQ_prospetto riassuntivo'!$B$29,J4='FNCINVLIQ_prospetto riassuntivo'!$B$26+'FNCINVLIQ_prospetto riassuntivo'!$B$29),1,0))</f>
        <v>1</v>
      </c>
    </row>
    <row r="5" spans="1:17" x14ac:dyDescent="0.25">
      <c r="A5" s="43">
        <f>IF(A4=0,0,IF('FNCINVLIQ_prospetto riassuntivo'!$B$26&gt;A4,A4+1,0))</f>
        <v>3</v>
      </c>
      <c r="B5" s="44">
        <f>'FNCINVLIQ_prospetto riassuntivo'!$B$16*'FNCINVLIQ_prospetto riassuntivo'!$B$30*H5</f>
        <v>266.66666666666669</v>
      </c>
      <c r="C5" s="44">
        <v>0</v>
      </c>
      <c r="D5" s="44">
        <f t="shared" si="0"/>
        <v>266.66666666666669</v>
      </c>
      <c r="E5" s="44">
        <v>0</v>
      </c>
      <c r="F5" s="44">
        <f>'FNCINVLIQ_prospetto riassuntivo'!$B$16</f>
        <v>128000</v>
      </c>
      <c r="G5" s="44">
        <f>B5/((1+IFERROR(SUM('FNCINVLIQ_prospetto riassuntivo'!$B$32,'FNCINVLIQ_prospetto riassuntivo'!$B$33)/'FNCINVLIQ_prospetto riassuntivo'!$B$24,0))^A5)</f>
        <v>264.53806482725588</v>
      </c>
      <c r="H5">
        <f>IF(A5=0,0,IF(OR(A5&lt;'FNCINVLIQ_prospetto riassuntivo'!$B$26,A5='FNCINVLIQ_prospetto riassuntivo'!$B$26),1,0))</f>
        <v>1</v>
      </c>
      <c r="J5" s="43">
        <f>IF(J4=0,0,IF('FNCINVLIQ_prospetto riassuntivo'!$B$26+'FNCINVLIQ_prospetto riassuntivo'!$B$29&gt;J4,J4+1,0))</f>
        <v>15</v>
      </c>
      <c r="K5" s="44">
        <f>O4*'FNCINVLIQ_prospetto riassuntivo'!$B$31*Q5</f>
        <v>260.84416700849869</v>
      </c>
      <c r="L5" s="44">
        <f t="shared" si="1"/>
        <v>1401.7683074020861</v>
      </c>
      <c r="M5" s="44">
        <f t="shared" si="2"/>
        <v>1662.6124744105848</v>
      </c>
      <c r="N5" s="45">
        <f t="shared" si="3"/>
        <v>4196.5681433227219</v>
      </c>
      <c r="O5" s="44">
        <f>('FNCINVLIQ_prospetto riassuntivo'!$B$16-N5)*Q5</f>
        <v>123803.43185667729</v>
      </c>
      <c r="P5" s="44">
        <f>K5/(1+SUM('FNCINVLIQ_prospetto riassuntivo'!$B$32:$B$33)/'FNCINVLIQ_prospetto riassuntivo'!$B$27)^J5</f>
        <v>250.59842046093928</v>
      </c>
      <c r="Q5">
        <f>IF(J5=0,0,IF(OR(J5&lt;'FNCINVLIQ_prospetto riassuntivo'!$B$26+'FNCINVLIQ_prospetto riassuntivo'!$B$29,J5='FNCINVLIQ_prospetto riassuntivo'!$B$26+'FNCINVLIQ_prospetto riassuntivo'!$B$29),1,0))</f>
        <v>1</v>
      </c>
    </row>
    <row r="6" spans="1:17" x14ac:dyDescent="0.25">
      <c r="A6" s="43">
        <f>IF(A5=0,0,IF('FNCINVLIQ_prospetto riassuntivo'!$B$26&gt;A5,A5+1,0))</f>
        <v>4</v>
      </c>
      <c r="B6" s="44">
        <f>'FNCINVLIQ_prospetto riassuntivo'!$B$16*'FNCINVLIQ_prospetto riassuntivo'!$B$30*H6</f>
        <v>266.66666666666669</v>
      </c>
      <c r="C6" s="44">
        <v>0</v>
      </c>
      <c r="D6" s="44">
        <f t="shared" si="0"/>
        <v>266.66666666666669</v>
      </c>
      <c r="E6" s="44">
        <v>0</v>
      </c>
      <c r="F6" s="44">
        <f>'FNCINVLIQ_prospetto riassuntivo'!$B$16</f>
        <v>128000</v>
      </c>
      <c r="G6" s="44">
        <f>B6/((1+IFERROR(SUM('FNCINVLIQ_prospetto riassuntivo'!$B$32,'FNCINVLIQ_prospetto riassuntivo'!$B$33)/'FNCINVLIQ_prospetto riassuntivo'!$B$24,0))^A6)</f>
        <v>263.83231338894046</v>
      </c>
      <c r="H6">
        <f>IF(A6=0,0,IF(OR(A6&lt;'FNCINVLIQ_prospetto riassuntivo'!$B$26,A6='FNCINVLIQ_prospetto riassuntivo'!$B$26),1,0))</f>
        <v>1</v>
      </c>
      <c r="J6" s="43">
        <f>IF(J5=0,0,IF('FNCINVLIQ_prospetto riassuntivo'!$B$26+'FNCINVLIQ_prospetto riassuntivo'!$B$29&gt;J5,J5+1,0))</f>
        <v>16</v>
      </c>
      <c r="K6" s="44">
        <f>O5*'FNCINVLIQ_prospetto riassuntivo'!$B$31*Q6</f>
        <v>257.92381636807767</v>
      </c>
      <c r="L6" s="44">
        <f t="shared" si="1"/>
        <v>1404.6886580425071</v>
      </c>
      <c r="M6" s="44">
        <f t="shared" si="2"/>
        <v>1662.6124744105848</v>
      </c>
      <c r="N6" s="45">
        <f t="shared" si="3"/>
        <v>5601.256801365229</v>
      </c>
      <c r="O6" s="44">
        <f>('FNCINVLIQ_prospetto riassuntivo'!$B$16-N6)*Q6</f>
        <v>122398.74319863477</v>
      </c>
      <c r="P6" s="44">
        <f>K6/(1+SUM('FNCINVLIQ_prospetto riassuntivo'!$B$32:$B$33)/'FNCINVLIQ_prospetto riassuntivo'!$B$27)^J6</f>
        <v>247.13170151489604</v>
      </c>
      <c r="Q6">
        <f>IF(J6=0,0,IF(OR(J6&lt;'FNCINVLIQ_prospetto riassuntivo'!$B$26+'FNCINVLIQ_prospetto riassuntivo'!$B$29,J6='FNCINVLIQ_prospetto riassuntivo'!$B$26+'FNCINVLIQ_prospetto riassuntivo'!$B$29),1,0))</f>
        <v>1</v>
      </c>
    </row>
    <row r="7" spans="1:17" x14ac:dyDescent="0.25">
      <c r="A7" s="43">
        <f>IF(A6=0,0,IF('FNCINVLIQ_prospetto riassuntivo'!$B$26&gt;A6,A6+1,0))</f>
        <v>5</v>
      </c>
      <c r="B7" s="44">
        <f>'FNCINVLIQ_prospetto riassuntivo'!$B$16*'FNCINVLIQ_prospetto riassuntivo'!$B$30*H7</f>
        <v>266.66666666666669</v>
      </c>
      <c r="C7" s="44">
        <v>0</v>
      </c>
      <c r="D7" s="44">
        <f t="shared" si="0"/>
        <v>266.66666666666669</v>
      </c>
      <c r="E7" s="44">
        <v>0</v>
      </c>
      <c r="F7" s="44">
        <f>'FNCINVLIQ_prospetto riassuntivo'!$B$16</f>
        <v>128000</v>
      </c>
      <c r="G7" s="44">
        <f>B7/((1+IFERROR(SUM('FNCINVLIQ_prospetto riassuntivo'!$B$32,'FNCINVLIQ_prospetto riassuntivo'!$B$33)/'FNCINVLIQ_prospetto riassuntivo'!$B$24,0))^A7)</f>
        <v>263.12844479910291</v>
      </c>
      <c r="H7">
        <f>IF(A7=0,0,IF(OR(A7&lt;'FNCINVLIQ_prospetto riassuntivo'!$B$26,A7='FNCINVLIQ_prospetto riassuntivo'!$B$26),1,0))</f>
        <v>1</v>
      </c>
      <c r="J7" s="43">
        <f>IF(J6=0,0,IF('FNCINVLIQ_prospetto riassuntivo'!$B$26+'FNCINVLIQ_prospetto riassuntivo'!$B$29&gt;J6,J6+1,0))</f>
        <v>17</v>
      </c>
      <c r="K7" s="44">
        <f>O6*'FNCINVLIQ_prospetto riassuntivo'!$B$31*Q7</f>
        <v>254.99738166382244</v>
      </c>
      <c r="L7" s="44">
        <f t="shared" si="1"/>
        <v>1407.6150927467625</v>
      </c>
      <c r="M7" s="44">
        <f t="shared" si="2"/>
        <v>1662.6124744105848</v>
      </c>
      <c r="N7" s="45">
        <f t="shared" si="3"/>
        <v>7008.8718941119914</v>
      </c>
      <c r="O7" s="44">
        <f>('FNCINVLIQ_prospetto riassuntivo'!$B$16-N7)*Q7</f>
        <v>120991.12810588801</v>
      </c>
      <c r="P7" s="44">
        <f>K7/(1+SUM('FNCINVLIQ_prospetto riassuntivo'!$B$32:$B$33)/'FNCINVLIQ_prospetto riassuntivo'!$B$27)^J7</f>
        <v>243.67588246079637</v>
      </c>
      <c r="Q7">
        <f>IF(J7=0,0,IF(OR(J7&lt;'FNCINVLIQ_prospetto riassuntivo'!$B$26+'FNCINVLIQ_prospetto riassuntivo'!$B$29,J7='FNCINVLIQ_prospetto riassuntivo'!$B$26+'FNCINVLIQ_prospetto riassuntivo'!$B$29),1,0))</f>
        <v>1</v>
      </c>
    </row>
    <row r="8" spans="1:17" x14ac:dyDescent="0.25">
      <c r="A8" s="43">
        <f>IF(A7=0,0,IF('FNCINVLIQ_prospetto riassuntivo'!$B$26&gt;A7,A7+1,0))</f>
        <v>6</v>
      </c>
      <c r="B8" s="44">
        <f>'FNCINVLIQ_prospetto riassuntivo'!$B$16*'FNCINVLIQ_prospetto riassuntivo'!$B$30*H8</f>
        <v>266.66666666666669</v>
      </c>
      <c r="C8" s="44">
        <v>0</v>
      </c>
      <c r="D8" s="44">
        <f t="shared" si="0"/>
        <v>266.66666666666669</v>
      </c>
      <c r="E8" s="44">
        <v>0</v>
      </c>
      <c r="F8" s="44">
        <f>'FNCINVLIQ_prospetto riassuntivo'!$B$16</f>
        <v>128000</v>
      </c>
      <c r="G8" s="44">
        <f>B8/((1+IFERROR(SUM('FNCINVLIQ_prospetto riassuntivo'!$B$32,'FNCINVLIQ_prospetto riassuntivo'!$B$33)/'FNCINVLIQ_prospetto riassuntivo'!$B$24,0))^A8)</f>
        <v>262.42645403456038</v>
      </c>
      <c r="H8">
        <f>IF(A8=0,0,IF(OR(A8&lt;'FNCINVLIQ_prospetto riassuntivo'!$B$26,A8='FNCINVLIQ_prospetto riassuntivo'!$B$26),1,0))</f>
        <v>1</v>
      </c>
      <c r="J8" s="43">
        <f>IF(J7=0,0,IF('FNCINVLIQ_prospetto riassuntivo'!$B$26+'FNCINVLIQ_prospetto riassuntivo'!$B$29&gt;J7,J7+1,0))</f>
        <v>18</v>
      </c>
      <c r="K8" s="44">
        <f>O7*'FNCINVLIQ_prospetto riassuntivo'!$B$31*Q8</f>
        <v>252.06485022060002</v>
      </c>
      <c r="L8" s="44">
        <f t="shared" si="1"/>
        <v>1410.5476241899848</v>
      </c>
      <c r="M8" s="44">
        <f t="shared" si="2"/>
        <v>1662.6124744105848</v>
      </c>
      <c r="N8" s="45">
        <f t="shared" si="3"/>
        <v>8419.4195183019765</v>
      </c>
      <c r="O8" s="44">
        <f>('FNCINVLIQ_prospetto riassuntivo'!$B$16-N8)*Q8</f>
        <v>119580.58048169802</v>
      </c>
      <c r="P8" s="44">
        <f>K8/(1+SUM('FNCINVLIQ_prospetto riassuntivo'!$B$32:$B$33)/'FNCINVLIQ_prospetto riassuntivo'!$B$27)^J8</f>
        <v>240.23093324488735</v>
      </c>
      <c r="Q8">
        <f>IF(J8=0,0,IF(OR(J8&lt;'FNCINVLIQ_prospetto riassuntivo'!$B$26+'FNCINVLIQ_prospetto riassuntivo'!$B$29,J8='FNCINVLIQ_prospetto riassuntivo'!$B$26+'FNCINVLIQ_prospetto riassuntivo'!$B$29),1,0))</f>
        <v>1</v>
      </c>
    </row>
    <row r="9" spans="1:17" x14ac:dyDescent="0.25">
      <c r="A9" s="43">
        <f>IF(A8=0,0,IF('FNCINVLIQ_prospetto riassuntivo'!$B$26&gt;A8,A8+1,0))</f>
        <v>7</v>
      </c>
      <c r="B9" s="44">
        <f>'FNCINVLIQ_prospetto riassuntivo'!$B$16*'FNCINVLIQ_prospetto riassuntivo'!$B$30*H9</f>
        <v>266.66666666666669</v>
      </c>
      <c r="C9" s="44">
        <v>0</v>
      </c>
      <c r="D9" s="44">
        <f t="shared" si="0"/>
        <v>266.66666666666669</v>
      </c>
      <c r="E9" s="44">
        <v>0</v>
      </c>
      <c r="F9" s="44">
        <f>'FNCINVLIQ_prospetto riassuntivo'!$B$16</f>
        <v>128000</v>
      </c>
      <c r="G9" s="44">
        <f>B9/((1+IFERROR(SUM('FNCINVLIQ_prospetto riassuntivo'!$B$32,'FNCINVLIQ_prospetto riassuntivo'!$B$33)/'FNCINVLIQ_prospetto riassuntivo'!$B$24,0))^A9)</f>
        <v>261.72633608553161</v>
      </c>
      <c r="H9">
        <f>IF(A9=0,0,IF(OR(A9&lt;'FNCINVLIQ_prospetto riassuntivo'!$B$26,A9='FNCINVLIQ_prospetto riassuntivo'!$B$26),1,0))</f>
        <v>1</v>
      </c>
      <c r="J9" s="43">
        <f>IF(J8=0,0,IF('FNCINVLIQ_prospetto riassuntivo'!$B$26+'FNCINVLIQ_prospetto riassuntivo'!$B$29&gt;J8,J8+1,0))</f>
        <v>19</v>
      </c>
      <c r="K9" s="44">
        <f>O8*'FNCINVLIQ_prospetto riassuntivo'!$B$31*Q9</f>
        <v>249.12620933687089</v>
      </c>
      <c r="L9" s="44">
        <f t="shared" si="1"/>
        <v>1413.4862650737139</v>
      </c>
      <c r="M9" s="44">
        <f t="shared" si="2"/>
        <v>1662.6124744105848</v>
      </c>
      <c r="N9" s="45">
        <f t="shared" si="3"/>
        <v>9832.9057833756906</v>
      </c>
      <c r="O9" s="44">
        <f>('FNCINVLIQ_prospetto riassuntivo'!$B$16-N9)*Q9</f>
        <v>118167.0942166243</v>
      </c>
      <c r="P9" s="44">
        <f>K9/(1+SUM('FNCINVLIQ_prospetto riassuntivo'!$B$32:$B$33)/'FNCINVLIQ_prospetto riassuntivo'!$B$27)^J9</f>
        <v>236.7968238941703</v>
      </c>
      <c r="Q9">
        <f>IF(J9=0,0,IF(OR(J9&lt;'FNCINVLIQ_prospetto riassuntivo'!$B$26+'FNCINVLIQ_prospetto riassuntivo'!$B$29,J9='FNCINVLIQ_prospetto riassuntivo'!$B$26+'FNCINVLIQ_prospetto riassuntivo'!$B$29),1,0))</f>
        <v>1</v>
      </c>
    </row>
    <row r="10" spans="1:17" x14ac:dyDescent="0.25">
      <c r="A10" s="43">
        <f>IF(A9=0,0,IF('FNCINVLIQ_prospetto riassuntivo'!$B$26&gt;A9,A9+1,0))</f>
        <v>8</v>
      </c>
      <c r="B10" s="44">
        <f>'FNCINVLIQ_prospetto riassuntivo'!$B$16*'FNCINVLIQ_prospetto riassuntivo'!$B$30*H10</f>
        <v>266.66666666666669</v>
      </c>
      <c r="C10" s="44">
        <v>0</v>
      </c>
      <c r="D10" s="44">
        <f t="shared" si="0"/>
        <v>266.66666666666669</v>
      </c>
      <c r="E10" s="44">
        <v>0</v>
      </c>
      <c r="F10" s="44">
        <f>'FNCINVLIQ_prospetto riassuntivo'!$B$16</f>
        <v>128000</v>
      </c>
      <c r="G10" s="44">
        <f>B10/((1+IFERROR(SUM('FNCINVLIQ_prospetto riassuntivo'!$B$32,'FNCINVLIQ_prospetto riassuntivo'!$B$33)/'FNCINVLIQ_prospetto riassuntivo'!$B$24,0))^A10)</f>
        <v>261.02808595560037</v>
      </c>
      <c r="H10">
        <f>IF(A10=0,0,IF(OR(A10&lt;'FNCINVLIQ_prospetto riassuntivo'!$B$26,A10='FNCINVLIQ_prospetto riassuntivo'!$B$26),1,0))</f>
        <v>1</v>
      </c>
      <c r="J10" s="43">
        <f>IF(J9=0,0,IF('FNCINVLIQ_prospetto riassuntivo'!$B$26+'FNCINVLIQ_prospetto riassuntivo'!$B$29&gt;J9,J9+1,0))</f>
        <v>20</v>
      </c>
      <c r="K10" s="44">
        <f>O9*'FNCINVLIQ_prospetto riassuntivo'!$B$31*Q10</f>
        <v>246.18144628463395</v>
      </c>
      <c r="L10" s="44">
        <f t="shared" si="1"/>
        <v>1416.4310281259509</v>
      </c>
      <c r="M10" s="44">
        <f t="shared" si="2"/>
        <v>1662.6124744105848</v>
      </c>
      <c r="N10" s="45">
        <f t="shared" si="3"/>
        <v>11249.336811501642</v>
      </c>
      <c r="O10" s="44">
        <f>('FNCINVLIQ_prospetto riassuntivo'!$B$16-N10)*Q10</f>
        <v>116750.66318849835</v>
      </c>
      <c r="P10" s="44">
        <f>K10/(1+SUM('FNCINVLIQ_prospetto riassuntivo'!$B$32:$B$33)/'FNCINVLIQ_prospetto riassuntivo'!$B$27)^J10</f>
        <v>233.37352451618489</v>
      </c>
      <c r="Q10">
        <f>IF(J10=0,0,IF(OR(J10&lt;'FNCINVLIQ_prospetto riassuntivo'!$B$26+'FNCINVLIQ_prospetto riassuntivo'!$B$29,J10='FNCINVLIQ_prospetto riassuntivo'!$B$26+'FNCINVLIQ_prospetto riassuntivo'!$B$29),1,0))</f>
        <v>1</v>
      </c>
    </row>
    <row r="11" spans="1:17" x14ac:dyDescent="0.25">
      <c r="A11" s="43">
        <f>IF(A10=0,0,IF('FNCINVLIQ_prospetto riassuntivo'!$B$26&gt;A10,A10+1,0))</f>
        <v>9</v>
      </c>
      <c r="B11" s="44">
        <f>'FNCINVLIQ_prospetto riassuntivo'!$B$16*'FNCINVLIQ_prospetto riassuntivo'!$B$30*H11</f>
        <v>266.66666666666669</v>
      </c>
      <c r="C11" s="44">
        <v>0</v>
      </c>
      <c r="D11" s="44">
        <f t="shared" si="0"/>
        <v>266.66666666666669</v>
      </c>
      <c r="E11" s="44">
        <v>0</v>
      </c>
      <c r="F11" s="44">
        <f>'FNCINVLIQ_prospetto riassuntivo'!$B$16</f>
        <v>128000</v>
      </c>
      <c r="G11" s="44">
        <f>B11/((1+IFERROR(SUM('FNCINVLIQ_prospetto riassuntivo'!$B$32,'FNCINVLIQ_prospetto riassuntivo'!$B$33)/'FNCINVLIQ_prospetto riassuntivo'!$B$24,0))^A11)</f>
        <v>260.33169866168038</v>
      </c>
      <c r="H11">
        <f>IF(A11=0,0,IF(OR(A11&lt;'FNCINVLIQ_prospetto riassuntivo'!$B$26,A11='FNCINVLIQ_prospetto riassuntivo'!$B$26),1,0))</f>
        <v>1</v>
      </c>
      <c r="J11" s="43">
        <f>IF(J10=0,0,IF('FNCINVLIQ_prospetto riassuntivo'!$B$26+'FNCINVLIQ_prospetto riassuntivo'!$B$29&gt;J10,J10+1,0))</f>
        <v>21</v>
      </c>
      <c r="K11" s="44">
        <f>O10*'FNCINVLIQ_prospetto riassuntivo'!$B$31*Q11</f>
        <v>243.23054830937156</v>
      </c>
      <c r="L11" s="44">
        <f t="shared" si="1"/>
        <v>1419.3819261012131</v>
      </c>
      <c r="M11" s="44">
        <f t="shared" si="2"/>
        <v>1662.6124744105848</v>
      </c>
      <c r="N11" s="45">
        <f t="shared" si="3"/>
        <v>12668.718737602856</v>
      </c>
      <c r="O11" s="44">
        <f>('FNCINVLIQ_prospetto riassuntivo'!$B$16-N11)*Q11</f>
        <v>115331.28126239714</v>
      </c>
      <c r="P11" s="44">
        <f>K11/(1+SUM('FNCINVLIQ_prospetto riassuntivo'!$B$32:$B$33)/'FNCINVLIQ_prospetto riassuntivo'!$B$27)^J11</f>
        <v>229.96100529879425</v>
      </c>
      <c r="Q11">
        <f>IF(J11=0,0,IF(OR(J11&lt;'FNCINVLIQ_prospetto riassuntivo'!$B$26+'FNCINVLIQ_prospetto riassuntivo'!$B$29,J11='FNCINVLIQ_prospetto riassuntivo'!$B$26+'FNCINVLIQ_prospetto riassuntivo'!$B$29),1,0))</f>
        <v>1</v>
      </c>
    </row>
    <row r="12" spans="1:17" x14ac:dyDescent="0.25">
      <c r="A12" s="43">
        <f>IF(A11=0,0,IF('FNCINVLIQ_prospetto riassuntivo'!$B$26&gt;A11,A11+1,0))</f>
        <v>10</v>
      </c>
      <c r="B12" s="44">
        <f>'FNCINVLIQ_prospetto riassuntivo'!$B$16*'FNCINVLIQ_prospetto riassuntivo'!$B$30*H12</f>
        <v>266.66666666666669</v>
      </c>
      <c r="C12" s="44">
        <v>0</v>
      </c>
      <c r="D12" s="44">
        <f t="shared" si="0"/>
        <v>266.66666666666669</v>
      </c>
      <c r="E12" s="44">
        <v>0</v>
      </c>
      <c r="F12" s="44">
        <f>'FNCINVLIQ_prospetto riassuntivo'!$B$16</f>
        <v>128000</v>
      </c>
      <c r="G12" s="44">
        <f>B12/((1+IFERROR(SUM('FNCINVLIQ_prospetto riassuntivo'!$B$32,'FNCINVLIQ_prospetto riassuntivo'!$B$33)/'FNCINVLIQ_prospetto riassuntivo'!$B$24,0))^A12)</f>
        <v>259.63716923397948</v>
      </c>
      <c r="H12">
        <f>IF(A12=0,0,IF(OR(A12&lt;'FNCINVLIQ_prospetto riassuntivo'!$B$26,A12='FNCINVLIQ_prospetto riassuntivo'!$B$26),1,0))</f>
        <v>1</v>
      </c>
      <c r="J12" s="43">
        <f>IF(J11=0,0,IF('FNCINVLIQ_prospetto riassuntivo'!$B$26+'FNCINVLIQ_prospetto riassuntivo'!$B$29&gt;J11,J11+1,0))</f>
        <v>22</v>
      </c>
      <c r="K12" s="44">
        <f>O11*'FNCINVLIQ_prospetto riassuntivo'!$B$31*Q12</f>
        <v>240.27350262999403</v>
      </c>
      <c r="L12" s="44">
        <f t="shared" si="1"/>
        <v>1422.3389717805908</v>
      </c>
      <c r="M12" s="44">
        <f t="shared" si="2"/>
        <v>1662.6124744105848</v>
      </c>
      <c r="N12" s="45">
        <f t="shared" si="3"/>
        <v>14091.057709383447</v>
      </c>
      <c r="O12" s="44">
        <f>('FNCINVLIQ_prospetto riassuntivo'!$B$16-N12)*Q12</f>
        <v>113908.94229061656</v>
      </c>
      <c r="P12" s="44">
        <f>K12/(1+SUM('FNCINVLIQ_prospetto riassuntivo'!$B$32:$B$33)/'FNCINVLIQ_prospetto riassuntivo'!$B$27)^J12</f>
        <v>226.55923650996988</v>
      </c>
      <c r="Q12">
        <f>IF(J12=0,0,IF(OR(J12&lt;'FNCINVLIQ_prospetto riassuntivo'!$B$26+'FNCINVLIQ_prospetto riassuntivo'!$B$29,J12='FNCINVLIQ_prospetto riassuntivo'!$B$26+'FNCINVLIQ_prospetto riassuntivo'!$B$29),1,0))</f>
        <v>1</v>
      </c>
    </row>
    <row r="13" spans="1:17" x14ac:dyDescent="0.25">
      <c r="A13" s="43">
        <f>IF(A12=0,0,IF('FNCINVLIQ_prospetto riassuntivo'!$B$26&gt;A12,A12+1,0))</f>
        <v>11</v>
      </c>
      <c r="B13" s="44">
        <f>'FNCINVLIQ_prospetto riassuntivo'!$B$16*'FNCINVLIQ_prospetto riassuntivo'!$B$30*H13</f>
        <v>266.66666666666669</v>
      </c>
      <c r="C13" s="44">
        <v>0</v>
      </c>
      <c r="D13" s="44">
        <f t="shared" si="0"/>
        <v>266.66666666666669</v>
      </c>
      <c r="E13" s="44">
        <v>0</v>
      </c>
      <c r="F13" s="44">
        <f>'FNCINVLIQ_prospetto riassuntivo'!$B$16</f>
        <v>128000</v>
      </c>
      <c r="G13" s="44">
        <f>B13/((1+IFERROR(SUM('FNCINVLIQ_prospetto riassuntivo'!$B$32,'FNCINVLIQ_prospetto riassuntivo'!$B$33)/'FNCINVLIQ_prospetto riassuntivo'!$B$24,0))^A13)</f>
        <v>258.94449271596426</v>
      </c>
      <c r="H13">
        <f>IF(A13=0,0,IF(OR(A13&lt;'FNCINVLIQ_prospetto riassuntivo'!$B$26,A13='FNCINVLIQ_prospetto riassuntivo'!$B$26),1,0))</f>
        <v>1</v>
      </c>
      <c r="J13" s="43">
        <f>IF(J12=0,0,IF('FNCINVLIQ_prospetto riassuntivo'!$B$26+'FNCINVLIQ_prospetto riassuntivo'!$B$29&gt;J12,J12+1,0))</f>
        <v>23</v>
      </c>
      <c r="K13" s="44">
        <f>O12*'FNCINVLIQ_prospetto riassuntivo'!$B$31*Q13</f>
        <v>237.31029643878449</v>
      </c>
      <c r="L13" s="44">
        <f t="shared" si="1"/>
        <v>1425.3021779718003</v>
      </c>
      <c r="M13" s="44">
        <f t="shared" si="2"/>
        <v>1662.6124744105848</v>
      </c>
      <c r="N13" s="45">
        <f t="shared" si="3"/>
        <v>15516.359887355247</v>
      </c>
      <c r="O13" s="44">
        <f>('FNCINVLIQ_prospetto riassuntivo'!$B$16-N13)*Q13</f>
        <v>112483.64011264476</v>
      </c>
      <c r="P13" s="44">
        <f>K13/(1+SUM('FNCINVLIQ_prospetto riassuntivo'!$B$32:$B$33)/'FNCINVLIQ_prospetto riassuntivo'!$B$27)^J13</f>
        <v>223.16818849757814</v>
      </c>
      <c r="Q13">
        <f>IF(J13=0,0,IF(OR(J13&lt;'FNCINVLIQ_prospetto riassuntivo'!$B$26+'FNCINVLIQ_prospetto riassuntivo'!$B$29,J13='FNCINVLIQ_prospetto riassuntivo'!$B$26+'FNCINVLIQ_prospetto riassuntivo'!$B$29),1,0))</f>
        <v>1</v>
      </c>
    </row>
    <row r="14" spans="1:17" x14ac:dyDescent="0.25">
      <c r="A14" s="43">
        <f>IF(A13=0,0,IF('FNCINVLIQ_prospetto riassuntivo'!$B$26&gt;A13,A13+1,0))</f>
        <v>12</v>
      </c>
      <c r="B14" s="44">
        <f>'FNCINVLIQ_prospetto riassuntivo'!$B$16*'FNCINVLIQ_prospetto riassuntivo'!$B$30*H14</f>
        <v>266.66666666666669</v>
      </c>
      <c r="C14" s="44">
        <v>0</v>
      </c>
      <c r="D14" s="44">
        <f t="shared" si="0"/>
        <v>266.66666666666669</v>
      </c>
      <c r="E14" s="44">
        <v>0</v>
      </c>
      <c r="F14" s="44">
        <f>'FNCINVLIQ_prospetto riassuntivo'!$B$16</f>
        <v>128000</v>
      </c>
      <c r="G14" s="44">
        <f>B14/((1+IFERROR(SUM('FNCINVLIQ_prospetto riassuntivo'!$B$32,'FNCINVLIQ_prospetto riassuntivo'!$B$33)/'FNCINVLIQ_prospetto riassuntivo'!$B$24,0))^A14)</f>
        <v>258.25366416432468</v>
      </c>
      <c r="H14">
        <f>IF(A14=0,0,IF(OR(A14&lt;'FNCINVLIQ_prospetto riassuntivo'!$B$26,A14='FNCINVLIQ_prospetto riassuntivo'!$B$26),1,0))</f>
        <v>1</v>
      </c>
      <c r="J14" s="43">
        <f>IF(J13=0,0,IF('FNCINVLIQ_prospetto riassuntivo'!$B$26+'FNCINVLIQ_prospetto riassuntivo'!$B$29&gt;J13,J13+1,0))</f>
        <v>24</v>
      </c>
      <c r="K14" s="44">
        <f>O13*'FNCINVLIQ_prospetto riassuntivo'!$B$31*Q14</f>
        <v>234.34091690134323</v>
      </c>
      <c r="L14" s="44">
        <f t="shared" si="1"/>
        <v>1428.2715575092416</v>
      </c>
      <c r="M14" s="44">
        <f t="shared" si="2"/>
        <v>1662.6124744105848</v>
      </c>
      <c r="N14" s="45">
        <f t="shared" si="3"/>
        <v>16944.631444864488</v>
      </c>
      <c r="O14" s="44">
        <f>('FNCINVLIQ_prospetto riassuntivo'!$B$16-N14)*Q14</f>
        <v>111055.36855513552</v>
      </c>
      <c r="P14" s="44">
        <f>K14/(1+SUM('FNCINVLIQ_prospetto riassuntivo'!$B$32:$B$33)/'FNCINVLIQ_prospetto riassuntivo'!$B$27)^J14</f>
        <v>219.78783168916627</v>
      </c>
      <c r="Q14">
        <f>IF(J14=0,0,IF(OR(J14&lt;'FNCINVLIQ_prospetto riassuntivo'!$B$26+'FNCINVLIQ_prospetto riassuntivo'!$B$29,J14='FNCINVLIQ_prospetto riassuntivo'!$B$26+'FNCINVLIQ_prospetto riassuntivo'!$B$29),1,0))</f>
        <v>1</v>
      </c>
    </row>
    <row r="15" spans="1:17" x14ac:dyDescent="0.25">
      <c r="J15" s="43">
        <f>IF(J14=0,0,IF('FNCINVLIQ_prospetto riassuntivo'!$B$26+'FNCINVLIQ_prospetto riassuntivo'!$B$29&gt;J14,J14+1,0))</f>
        <v>25</v>
      </c>
      <c r="K15" s="44">
        <f>O14*'FNCINVLIQ_prospetto riassuntivo'!$B$31*Q15</f>
        <v>231.36535115653231</v>
      </c>
      <c r="L15" s="44">
        <f t="shared" si="1"/>
        <v>1431.2471232540524</v>
      </c>
      <c r="M15" s="44">
        <f t="shared" si="2"/>
        <v>1662.6124744105848</v>
      </c>
      <c r="N15" s="45">
        <f t="shared" si="3"/>
        <v>18375.87856811854</v>
      </c>
      <c r="O15" s="44">
        <f>('FNCINVLIQ_prospetto riassuntivo'!$B$16-N15)*Q15</f>
        <v>109624.12143188146</v>
      </c>
      <c r="P15" s="44">
        <f>K15/(1+SUM('FNCINVLIQ_prospetto riassuntivo'!$B$32:$B$33)/'FNCINVLIQ_prospetto riassuntivo'!$B$27)^J15</f>
        <v>216.41813659174974</v>
      </c>
      <c r="Q15">
        <f>IF(J15=0,0,IF(OR(J15&lt;'FNCINVLIQ_prospetto riassuntivo'!$B$26+'FNCINVLIQ_prospetto riassuntivo'!$B$29,J15='FNCINVLIQ_prospetto riassuntivo'!$B$26+'FNCINVLIQ_prospetto riassuntivo'!$B$29),1,0))</f>
        <v>1</v>
      </c>
    </row>
    <row r="16" spans="1:17" x14ac:dyDescent="0.25">
      <c r="J16" s="43">
        <f>IF(J15=0,0,IF('FNCINVLIQ_prospetto riassuntivo'!$B$26+'FNCINVLIQ_prospetto riassuntivo'!$B$29&gt;J15,J15+1,0))</f>
        <v>26</v>
      </c>
      <c r="K16" s="44">
        <f>O15*'FNCINVLIQ_prospetto riassuntivo'!$B$31*Q16</f>
        <v>228.3835863164197</v>
      </c>
      <c r="L16" s="44">
        <f t="shared" si="1"/>
        <v>1434.2288880941651</v>
      </c>
      <c r="M16" s="44">
        <f t="shared" si="2"/>
        <v>1662.6124744105848</v>
      </c>
      <c r="N16" s="45">
        <f t="shared" si="3"/>
        <v>19810.107456212703</v>
      </c>
      <c r="O16" s="44">
        <f>('FNCINVLIQ_prospetto riassuntivo'!$B$16-N16)*Q16</f>
        <v>108189.8925437873</v>
      </c>
      <c r="P16" s="44">
        <f>K16/(1+SUM('FNCINVLIQ_prospetto riassuntivo'!$B$32:$B$33)/'FNCINVLIQ_prospetto riassuntivo'!$B$27)^J16</f>
        <v>213.05907379159987</v>
      </c>
      <c r="Q16">
        <f>IF(J16=0,0,IF(OR(J16&lt;'FNCINVLIQ_prospetto riassuntivo'!$B$26+'FNCINVLIQ_prospetto riassuntivo'!$B$29,J16='FNCINVLIQ_prospetto riassuntivo'!$B$26+'FNCINVLIQ_prospetto riassuntivo'!$B$29),1,0))</f>
        <v>1</v>
      </c>
    </row>
    <row r="17" spans="10:17" x14ac:dyDescent="0.25">
      <c r="J17" s="43">
        <f>IF(J16=0,0,IF('FNCINVLIQ_prospetto riassuntivo'!$B$26+'FNCINVLIQ_prospetto riassuntivo'!$B$29&gt;J16,J16+1,0))</f>
        <v>27</v>
      </c>
      <c r="K17" s="44">
        <f>O16*'FNCINVLIQ_prospetto riassuntivo'!$B$31*Q17</f>
        <v>225.39560946622353</v>
      </c>
      <c r="L17" s="44">
        <f t="shared" si="1"/>
        <v>1437.2168649443613</v>
      </c>
      <c r="M17" s="44">
        <f t="shared" si="2"/>
        <v>1662.6124744105848</v>
      </c>
      <c r="N17" s="45">
        <f t="shared" si="3"/>
        <v>21247.324321157066</v>
      </c>
      <c r="O17" s="44">
        <f>('FNCINVLIQ_prospetto riassuntivo'!$B$16-N17)*Q17</f>
        <v>106752.67567884293</v>
      </c>
      <c r="P17" s="44">
        <f>K17/(1+SUM('FNCINVLIQ_prospetto riassuntivo'!$B$32:$B$33)/'FNCINVLIQ_prospetto riassuntivo'!$B$27)^J17</f>
        <v>209.71061395403197</v>
      </c>
      <c r="Q17">
        <f>IF(J17=0,0,IF(OR(J17&lt;'FNCINVLIQ_prospetto riassuntivo'!$B$26+'FNCINVLIQ_prospetto riassuntivo'!$B$29,J17='FNCINVLIQ_prospetto riassuntivo'!$B$26+'FNCINVLIQ_prospetto riassuntivo'!$B$29),1,0))</f>
        <v>1</v>
      </c>
    </row>
    <row r="18" spans="10:17" x14ac:dyDescent="0.25">
      <c r="J18" s="43">
        <f>IF(J17=0,0,IF('FNCINVLIQ_prospetto riassuntivo'!$B$26+'FNCINVLIQ_prospetto riassuntivo'!$B$29&gt;J17,J17+1,0))</f>
        <v>28</v>
      </c>
      <c r="K18" s="44">
        <f>O17*'FNCINVLIQ_prospetto riassuntivo'!$B$31*Q18</f>
        <v>222.40140766425611</v>
      </c>
      <c r="L18" s="44">
        <f t="shared" si="1"/>
        <v>1440.2110667463287</v>
      </c>
      <c r="M18" s="44">
        <f t="shared" si="2"/>
        <v>1662.6124744105848</v>
      </c>
      <c r="N18" s="45">
        <f t="shared" si="3"/>
        <v>22687.535387903394</v>
      </c>
      <c r="O18" s="44">
        <f>('FNCINVLIQ_prospetto riassuntivo'!$B$16-N18)*Q18</f>
        <v>105312.46461209661</v>
      </c>
      <c r="P18" s="44">
        <f>K18/(1+SUM('FNCINVLIQ_prospetto riassuntivo'!$B$32:$B$33)/'FNCINVLIQ_prospetto riassuntivo'!$B$27)^J18</f>
        <v>206.37272782319437</v>
      </c>
      <c r="Q18">
        <f>IF(J18=0,0,IF(OR(J18&lt;'FNCINVLIQ_prospetto riassuntivo'!$B$26+'FNCINVLIQ_prospetto riassuntivo'!$B$29,J18='FNCINVLIQ_prospetto riassuntivo'!$B$26+'FNCINVLIQ_prospetto riassuntivo'!$B$29),1,0))</f>
        <v>1</v>
      </c>
    </row>
    <row r="19" spans="10:17" x14ac:dyDescent="0.25">
      <c r="J19" s="43">
        <f>IF(J18=0,0,IF('FNCINVLIQ_prospetto riassuntivo'!$B$26+'FNCINVLIQ_prospetto riassuntivo'!$B$29&gt;J18,J18+1,0))</f>
        <v>29</v>
      </c>
      <c r="K19" s="44">
        <f>O18*'FNCINVLIQ_prospetto riassuntivo'!$B$31*Q19</f>
        <v>219.40096794186792</v>
      </c>
      <c r="L19" s="44">
        <f t="shared" si="1"/>
        <v>1443.2115064687168</v>
      </c>
      <c r="M19" s="44">
        <f t="shared" si="2"/>
        <v>1662.6124744105848</v>
      </c>
      <c r="N19" s="45">
        <f t="shared" si="3"/>
        <v>24130.746894372111</v>
      </c>
      <c r="O19" s="44">
        <f>('FNCINVLIQ_prospetto riassuntivo'!$B$16-N19)*Q19</f>
        <v>103869.2531056279</v>
      </c>
      <c r="P19" s="44">
        <f>K19/(1+SUM('FNCINVLIQ_prospetto riassuntivo'!$B$32:$B$33)/'FNCINVLIQ_prospetto riassuntivo'!$B$27)^J19</f>
        <v>203.04538622185723</v>
      </c>
      <c r="Q19">
        <f>IF(J19=0,0,IF(OR(J19&lt;'FNCINVLIQ_prospetto riassuntivo'!$B$26+'FNCINVLIQ_prospetto riassuntivo'!$B$29,J19='FNCINVLIQ_prospetto riassuntivo'!$B$26+'FNCINVLIQ_prospetto riassuntivo'!$B$29),1,0))</f>
        <v>1</v>
      </c>
    </row>
    <row r="20" spans="10:17" x14ac:dyDescent="0.25">
      <c r="J20" s="43">
        <f>IF(J19=0,0,IF('FNCINVLIQ_prospetto riassuntivo'!$B$26+'FNCINVLIQ_prospetto riassuntivo'!$B$29&gt;J19,J19+1,0))</f>
        <v>30</v>
      </c>
      <c r="K20" s="44">
        <f>O19*'FNCINVLIQ_prospetto riassuntivo'!$B$31*Q20</f>
        <v>216.39427730339145</v>
      </c>
      <c r="L20" s="44">
        <f t="shared" si="1"/>
        <v>1446.2181971071934</v>
      </c>
      <c r="M20" s="44">
        <f t="shared" si="2"/>
        <v>1662.6124744105848</v>
      </c>
      <c r="N20" s="45">
        <f t="shared" si="3"/>
        <v>25576.965091479306</v>
      </c>
      <c r="O20" s="44">
        <f>('FNCINVLIQ_prospetto riassuntivo'!$B$16-N20)*Q20</f>
        <v>102423.0349085207</v>
      </c>
      <c r="P20" s="44">
        <f>K20/(1+SUM('FNCINVLIQ_prospetto riassuntivo'!$B$32:$B$33)/'FNCINVLIQ_prospetto riassuntivo'!$B$27)^J20</f>
        <v>199.72856005120315</v>
      </c>
      <c r="Q20">
        <f>IF(J20=0,0,IF(OR(J20&lt;'FNCINVLIQ_prospetto riassuntivo'!$B$26+'FNCINVLIQ_prospetto riassuntivo'!$B$29,J20='FNCINVLIQ_prospetto riassuntivo'!$B$26+'FNCINVLIQ_prospetto riassuntivo'!$B$29),1,0))</f>
        <v>1</v>
      </c>
    </row>
    <row r="21" spans="10:17" x14ac:dyDescent="0.25">
      <c r="J21" s="43">
        <f>IF(J20=0,0,IF('FNCINVLIQ_prospetto riassuntivo'!$B$26+'FNCINVLIQ_prospetto riassuntivo'!$B$29&gt;J20,J20+1,0))</f>
        <v>31</v>
      </c>
      <c r="K21" s="44">
        <f>O20*'FNCINVLIQ_prospetto riassuntivo'!$B$31*Q21</f>
        <v>213.38132272608479</v>
      </c>
      <c r="L21" s="44">
        <f t="shared" si="1"/>
        <v>1449.2311516845</v>
      </c>
      <c r="M21" s="44">
        <f t="shared" si="2"/>
        <v>1662.6124744105848</v>
      </c>
      <c r="N21" s="45">
        <f t="shared" si="3"/>
        <v>27026.196243163806</v>
      </c>
      <c r="O21" s="44">
        <f>('FNCINVLIQ_prospetto riassuntivo'!$B$16-N21)*Q21</f>
        <v>100973.80375683619</v>
      </c>
      <c r="P21" s="44">
        <f>K21/(1+SUM('FNCINVLIQ_prospetto riassuntivo'!$B$32:$B$33)/'FNCINVLIQ_prospetto riassuntivo'!$B$27)^J21</f>
        <v>196.42222029061699</v>
      </c>
      <c r="Q21">
        <f>IF(J21=0,0,IF(OR(J21&lt;'FNCINVLIQ_prospetto riassuntivo'!$B$26+'FNCINVLIQ_prospetto riassuntivo'!$B$29,J21='FNCINVLIQ_prospetto riassuntivo'!$B$26+'FNCINVLIQ_prospetto riassuntivo'!$B$29),1,0))</f>
        <v>1</v>
      </c>
    </row>
    <row r="22" spans="10:17" x14ac:dyDescent="0.25">
      <c r="J22" s="43">
        <f>IF(J21=0,0,IF('FNCINVLIQ_prospetto riassuntivo'!$B$26+'FNCINVLIQ_prospetto riassuntivo'!$B$29&gt;J21,J21+1,0))</f>
        <v>32</v>
      </c>
      <c r="K22" s="44">
        <f>O21*'FNCINVLIQ_prospetto riassuntivo'!$B$31*Q22</f>
        <v>210.36209116007538</v>
      </c>
      <c r="L22" s="44">
        <f t="shared" si="1"/>
        <v>1452.2503832505095</v>
      </c>
      <c r="M22" s="44">
        <f t="shared" si="2"/>
        <v>1662.6124744105848</v>
      </c>
      <c r="N22" s="45">
        <f t="shared" si="3"/>
        <v>28478.446626414316</v>
      </c>
      <c r="O22" s="44">
        <f>('FNCINVLIQ_prospetto riassuntivo'!$B$16-N22)*Q22</f>
        <v>99521.553373585688</v>
      </c>
      <c r="P22" s="44">
        <f>K22/(1+SUM('FNCINVLIQ_prospetto riassuntivo'!$B$32:$B$33)/'FNCINVLIQ_prospetto riassuntivo'!$B$27)^J22</f>
        <v>193.12633799747746</v>
      </c>
      <c r="Q22">
        <f>IF(J22=0,0,IF(OR(J22&lt;'FNCINVLIQ_prospetto riassuntivo'!$B$26+'FNCINVLIQ_prospetto riassuntivo'!$B$29,J22='FNCINVLIQ_prospetto riassuntivo'!$B$26+'FNCINVLIQ_prospetto riassuntivo'!$B$29),1,0))</f>
        <v>1</v>
      </c>
    </row>
    <row r="23" spans="10:17" x14ac:dyDescent="0.25">
      <c r="J23" s="43">
        <f>IF(J22=0,0,IF('FNCINVLIQ_prospetto riassuntivo'!$B$26+'FNCINVLIQ_prospetto riassuntivo'!$B$29&gt;J22,J22+1,0))</f>
        <v>33</v>
      </c>
      <c r="K23" s="44">
        <f>O22*'FNCINVLIQ_prospetto riassuntivo'!$B$31*Q23</f>
        <v>207.3365695283035</v>
      </c>
      <c r="L23" s="44">
        <f t="shared" si="1"/>
        <v>1455.2759048822813</v>
      </c>
      <c r="M23" s="44">
        <f t="shared" si="2"/>
        <v>1662.6124744105848</v>
      </c>
      <c r="N23" s="45">
        <f t="shared" si="3"/>
        <v>29933.722531296597</v>
      </c>
      <c r="O23" s="44">
        <f>('FNCINVLIQ_prospetto riassuntivo'!$B$16-N23)*Q23</f>
        <v>98066.277468703396</v>
      </c>
      <c r="P23" s="44">
        <f>K23/(1+SUM('FNCINVLIQ_prospetto riassuntivo'!$B$32:$B$33)/'FNCINVLIQ_prospetto riassuntivo'!$B$27)^J23</f>
        <v>189.84088430694825</v>
      </c>
      <c r="Q23">
        <f>IF(J23=0,0,IF(OR(J23&lt;'FNCINVLIQ_prospetto riassuntivo'!$B$26+'FNCINVLIQ_prospetto riassuntivo'!$B$29,J23='FNCINVLIQ_prospetto riassuntivo'!$B$26+'FNCINVLIQ_prospetto riassuntivo'!$B$29),1,0))</f>
        <v>1</v>
      </c>
    </row>
    <row r="24" spans="10:17" x14ac:dyDescent="0.25">
      <c r="J24" s="43">
        <f>IF(J23=0,0,IF('FNCINVLIQ_prospetto riassuntivo'!$B$26+'FNCINVLIQ_prospetto riassuntivo'!$B$29&gt;J23,J23+1,0))</f>
        <v>34</v>
      </c>
      <c r="K24" s="44">
        <f>O23*'FNCINVLIQ_prospetto riassuntivo'!$B$31*Q24</f>
        <v>204.3047447264654</v>
      </c>
      <c r="L24" s="44">
        <f t="shared" si="1"/>
        <v>1458.3077296841193</v>
      </c>
      <c r="M24" s="44">
        <f t="shared" si="2"/>
        <v>1662.6124744105848</v>
      </c>
      <c r="N24" s="45">
        <f t="shared" si="3"/>
        <v>31392.030260980715</v>
      </c>
      <c r="O24" s="44">
        <f>('FNCINVLIQ_prospetto riassuntivo'!$B$16-N24)*Q24</f>
        <v>96607.969739019289</v>
      </c>
      <c r="P24" s="44">
        <f>K24/(1+SUM('FNCINVLIQ_prospetto riassuntivo'!$B$32:$B$33)/'FNCINVLIQ_prospetto riassuntivo'!$B$27)^J24</f>
        <v>186.56583043177042</v>
      </c>
      <c r="Q24">
        <f>IF(J24=0,0,IF(OR(J24&lt;'FNCINVLIQ_prospetto riassuntivo'!$B$26+'FNCINVLIQ_prospetto riassuntivo'!$B$29,J24='FNCINVLIQ_prospetto riassuntivo'!$B$26+'FNCINVLIQ_prospetto riassuntivo'!$B$29),1,0))</f>
        <v>1</v>
      </c>
    </row>
    <row r="25" spans="10:17" x14ac:dyDescent="0.25">
      <c r="J25" s="43">
        <f>IF(J24=0,0,IF('FNCINVLIQ_prospetto riassuntivo'!$B$26+'FNCINVLIQ_prospetto riassuntivo'!$B$29&gt;J24,J24+1,0))</f>
        <v>35</v>
      </c>
      <c r="K25" s="44">
        <f>O24*'FNCINVLIQ_prospetto riassuntivo'!$B$31*Q25</f>
        <v>201.26660362295684</v>
      </c>
      <c r="L25" s="44">
        <f t="shared" si="1"/>
        <v>1461.345870787628</v>
      </c>
      <c r="M25" s="44">
        <f t="shared" si="2"/>
        <v>1662.6124744105848</v>
      </c>
      <c r="N25" s="45">
        <f t="shared" si="3"/>
        <v>32853.376131768346</v>
      </c>
      <c r="O25" s="44">
        <f>('FNCINVLIQ_prospetto riassuntivo'!$B$16-N25)*Q25</f>
        <v>95146.623868231662</v>
      </c>
      <c r="P25" s="44">
        <f>K25/(1+SUM('FNCINVLIQ_prospetto riassuntivo'!$B$32:$B$33)/'FNCINVLIQ_prospetto riassuntivo'!$B$27)^J25</f>
        <v>183.30114766205509</v>
      </c>
      <c r="Q25">
        <f>IF(J25=0,0,IF(OR(J25&lt;'FNCINVLIQ_prospetto riassuntivo'!$B$26+'FNCINVLIQ_prospetto riassuntivo'!$B$29,J25='FNCINVLIQ_prospetto riassuntivo'!$B$26+'FNCINVLIQ_prospetto riassuntivo'!$B$29),1,0))</f>
        <v>1</v>
      </c>
    </row>
    <row r="26" spans="10:17" x14ac:dyDescent="0.25">
      <c r="J26" s="43">
        <f>IF(J25=0,0,IF('FNCINVLIQ_prospetto riassuntivo'!$B$26+'FNCINVLIQ_prospetto riassuntivo'!$B$29&gt;J25,J25+1,0))</f>
        <v>36</v>
      </c>
      <c r="K26" s="44">
        <f>O25*'FNCINVLIQ_prospetto riassuntivo'!$B$31*Q26</f>
        <v>198.22213305881596</v>
      </c>
      <c r="L26" s="44">
        <f t="shared" si="1"/>
        <v>1464.3903413517689</v>
      </c>
      <c r="M26" s="44">
        <f t="shared" si="2"/>
        <v>1662.6124744105848</v>
      </c>
      <c r="N26" s="45">
        <f t="shared" si="3"/>
        <v>34317.766473120115</v>
      </c>
      <c r="O26" s="44">
        <f>('FNCINVLIQ_prospetto riassuntivo'!$B$16-N26)*Q26</f>
        <v>93682.233526879892</v>
      </c>
      <c r="P26" s="44">
        <f>K26/(1+SUM('FNCINVLIQ_prospetto riassuntivo'!$B$32:$B$33)/'FNCINVLIQ_prospetto riassuntivo'!$B$27)^J26</f>
        <v>180.04680736507649</v>
      </c>
      <c r="Q26">
        <f>IF(J26=0,0,IF(OR(J26&lt;'FNCINVLIQ_prospetto riassuntivo'!$B$26+'FNCINVLIQ_prospetto riassuntivo'!$B$29,J26='FNCINVLIQ_prospetto riassuntivo'!$B$26+'FNCINVLIQ_prospetto riassuntivo'!$B$29),1,0))</f>
        <v>1</v>
      </c>
    </row>
    <row r="27" spans="10:17" x14ac:dyDescent="0.25">
      <c r="J27" s="43">
        <f>IF(J26=0,0,IF('FNCINVLIQ_prospetto riassuntivo'!$B$26+'FNCINVLIQ_prospetto riassuntivo'!$B$29&gt;J26,J26+1,0))</f>
        <v>37</v>
      </c>
      <c r="K27" s="44">
        <f>O26*'FNCINVLIQ_prospetto riassuntivo'!$B$31*Q27</f>
        <v>195.17131984766644</v>
      </c>
      <c r="L27" s="44">
        <f t="shared" si="1"/>
        <v>1467.4411545629184</v>
      </c>
      <c r="M27" s="44">
        <f t="shared" si="2"/>
        <v>1662.6124744105848</v>
      </c>
      <c r="N27" s="45">
        <f t="shared" si="3"/>
        <v>35785.207627683034</v>
      </c>
      <c r="O27" s="44">
        <f>('FNCINVLIQ_prospetto riassuntivo'!$B$16-N27)*Q27</f>
        <v>92214.792372316966</v>
      </c>
      <c r="P27" s="44">
        <f>K27/(1+SUM('FNCINVLIQ_prospetto riassuntivo'!$B$32:$B$33)/'FNCINVLIQ_prospetto riassuntivo'!$B$27)^J27</f>
        <v>176.80278098506614</v>
      </c>
      <c r="Q27">
        <f>IF(J27=0,0,IF(OR(J27&lt;'FNCINVLIQ_prospetto riassuntivo'!$B$26+'FNCINVLIQ_prospetto riassuntivo'!$B$29,J27='FNCINVLIQ_prospetto riassuntivo'!$B$26+'FNCINVLIQ_prospetto riassuntivo'!$B$29),1,0))</f>
        <v>1</v>
      </c>
    </row>
    <row r="28" spans="10:17" x14ac:dyDescent="0.25">
      <c r="J28" s="43">
        <f>IF(J27=0,0,IF('FNCINVLIQ_prospetto riassuntivo'!$B$26+'FNCINVLIQ_prospetto riassuntivo'!$B$29&gt;J27,J27+1,0))</f>
        <v>38</v>
      </c>
      <c r="K28" s="44">
        <f>O27*'FNCINVLIQ_prospetto riassuntivo'!$B$31*Q28</f>
        <v>192.11415077566033</v>
      </c>
      <c r="L28" s="44">
        <f t="shared" si="1"/>
        <v>1470.4983236349244</v>
      </c>
      <c r="M28" s="44">
        <f t="shared" si="2"/>
        <v>1662.6124744105848</v>
      </c>
      <c r="N28" s="45">
        <f t="shared" si="3"/>
        <v>37255.705951317956</v>
      </c>
      <c r="O28" s="44">
        <f>('FNCINVLIQ_prospetto riassuntivo'!$B$16-N28)*Q28</f>
        <v>90744.294048682044</v>
      </c>
      <c r="P28" s="44">
        <f>K28/(1+SUM('FNCINVLIQ_prospetto riassuntivo'!$B$32:$B$33)/'FNCINVLIQ_prospetto riassuntivo'!$B$27)^J28</f>
        <v>173.56904004300677</v>
      </c>
      <c r="Q28">
        <f>IF(J28=0,0,IF(OR(J28&lt;'FNCINVLIQ_prospetto riassuntivo'!$B$26+'FNCINVLIQ_prospetto riassuntivo'!$B$29,J28='FNCINVLIQ_prospetto riassuntivo'!$B$26+'FNCINVLIQ_prospetto riassuntivo'!$B$29),1,0))</f>
        <v>1</v>
      </c>
    </row>
    <row r="29" spans="10:17" x14ac:dyDescent="0.25">
      <c r="J29" s="43">
        <f>IF(J28=0,0,IF('FNCINVLIQ_prospetto riassuntivo'!$B$26+'FNCINVLIQ_prospetto riassuntivo'!$B$29&gt;J28,J28+1,0))</f>
        <v>39</v>
      </c>
      <c r="K29" s="44">
        <f>O28*'FNCINVLIQ_prospetto riassuntivo'!$B$31*Q29</f>
        <v>189.05061260142094</v>
      </c>
      <c r="L29" s="44">
        <f t="shared" si="1"/>
        <v>1473.5618618091639</v>
      </c>
      <c r="M29" s="44">
        <f t="shared" si="2"/>
        <v>1662.6124744105848</v>
      </c>
      <c r="N29" s="45">
        <f t="shared" si="3"/>
        <v>38729.267813127117</v>
      </c>
      <c r="O29" s="44">
        <f>('FNCINVLIQ_prospetto riassuntivo'!$B$16-N29)*Q29</f>
        <v>89270.73218687289</v>
      </c>
      <c r="P29" s="44">
        <f>K29/(1+SUM('FNCINVLIQ_prospetto riassuntivo'!$B$32:$B$33)/'FNCINVLIQ_prospetto riassuntivo'!$B$27)^J29</f>
        <v>170.34555613642766</v>
      </c>
      <c r="Q29">
        <f>IF(J29=0,0,IF(OR(J29&lt;'FNCINVLIQ_prospetto riassuntivo'!$B$26+'FNCINVLIQ_prospetto riassuntivo'!$B$29,J29='FNCINVLIQ_prospetto riassuntivo'!$B$26+'FNCINVLIQ_prospetto riassuntivo'!$B$29),1,0))</f>
        <v>1</v>
      </c>
    </row>
    <row r="30" spans="10:17" x14ac:dyDescent="0.25">
      <c r="J30" s="43">
        <f>IF(J29=0,0,IF('FNCINVLIQ_prospetto riassuntivo'!$B$26+'FNCINVLIQ_prospetto riassuntivo'!$B$29&gt;J29,J29+1,0))</f>
        <v>40</v>
      </c>
      <c r="K30" s="44">
        <f>O29*'FNCINVLIQ_prospetto riassuntivo'!$B$31*Q30</f>
        <v>185.98069205598517</v>
      </c>
      <c r="L30" s="44">
        <f t="shared" si="1"/>
        <v>1476.6317823545996</v>
      </c>
      <c r="M30" s="44">
        <f t="shared" si="2"/>
        <v>1662.6124744105848</v>
      </c>
      <c r="N30" s="45">
        <f t="shared" si="3"/>
        <v>40205.899595481715</v>
      </c>
      <c r="O30" s="44">
        <f>('FNCINVLIQ_prospetto riassuntivo'!$B$16-N30)*Q30</f>
        <v>87794.100404518278</v>
      </c>
      <c r="P30" s="44">
        <f>K30/(1+SUM('FNCINVLIQ_prospetto riassuntivo'!$B$32:$B$33)/'FNCINVLIQ_prospetto riassuntivo'!$B$27)^J30</f>
        <v>167.13230093919961</v>
      </c>
      <c r="Q30">
        <f>IF(J30=0,0,IF(OR(J30&lt;'FNCINVLIQ_prospetto riassuntivo'!$B$26+'FNCINVLIQ_prospetto riassuntivo'!$B$29,J30='FNCINVLIQ_prospetto riassuntivo'!$B$26+'FNCINVLIQ_prospetto riassuntivo'!$B$29),1,0))</f>
        <v>1</v>
      </c>
    </row>
    <row r="31" spans="10:17" x14ac:dyDescent="0.25">
      <c r="J31" s="43">
        <f>IF(J30=0,0,IF('FNCINVLIQ_prospetto riassuntivo'!$B$26+'FNCINVLIQ_prospetto riassuntivo'!$B$29&gt;J30,J30+1,0))</f>
        <v>41</v>
      </c>
      <c r="K31" s="44">
        <f>O30*'FNCINVLIQ_prospetto riassuntivo'!$B$31*Q31</f>
        <v>182.90437584274642</v>
      </c>
      <c r="L31" s="44">
        <f t="shared" si="1"/>
        <v>1479.7080985678383</v>
      </c>
      <c r="M31" s="44">
        <f t="shared" si="2"/>
        <v>1662.6124744105848</v>
      </c>
      <c r="N31" s="45">
        <f t="shared" si="3"/>
        <v>41685.607694049555</v>
      </c>
      <c r="O31" s="44">
        <f>('FNCINVLIQ_prospetto riassuntivo'!$B$16-N31)*Q31</f>
        <v>86314.392305950445</v>
      </c>
      <c r="P31" s="44">
        <f>K31/(1+SUM('FNCINVLIQ_prospetto riassuntivo'!$B$32:$B$33)/'FNCINVLIQ_prospetto riassuntivo'!$B$27)^J31</f>
        <v>163.92924620133138</v>
      </c>
      <c r="Q31">
        <f>IF(J31=0,0,IF(OR(J31&lt;'FNCINVLIQ_prospetto riassuntivo'!$B$26+'FNCINVLIQ_prospetto riassuntivo'!$B$29,J31='FNCINVLIQ_prospetto riassuntivo'!$B$26+'FNCINVLIQ_prospetto riassuntivo'!$B$29),1,0))</f>
        <v>1</v>
      </c>
    </row>
    <row r="32" spans="10:17" x14ac:dyDescent="0.25">
      <c r="J32" s="43">
        <f>IF(J31=0,0,IF('FNCINVLIQ_prospetto riassuntivo'!$B$26+'FNCINVLIQ_prospetto riassuntivo'!$B$29&gt;J31,J31+1,0))</f>
        <v>42</v>
      </c>
      <c r="K32" s="44">
        <f>O31*'FNCINVLIQ_prospetto riassuntivo'!$B$31*Q32</f>
        <v>179.82165063739677</v>
      </c>
      <c r="L32" s="44">
        <f t="shared" si="1"/>
        <v>1482.7908237731881</v>
      </c>
      <c r="M32" s="44">
        <f t="shared" si="2"/>
        <v>1662.6124744105848</v>
      </c>
      <c r="N32" s="45">
        <f t="shared" si="3"/>
        <v>43168.398517822745</v>
      </c>
      <c r="O32" s="44">
        <f>('FNCINVLIQ_prospetto riassuntivo'!$B$16-N32)*Q32</f>
        <v>84831.601482177255</v>
      </c>
      <c r="P32" s="44">
        <f>K32/(1+SUM('FNCINVLIQ_prospetto riassuntivo'!$B$32:$B$33)/'FNCINVLIQ_prospetto riassuntivo'!$B$27)^J32</f>
        <v>160.73636374876597</v>
      </c>
      <c r="Q32">
        <f>IF(J32=0,0,IF(OR(J32&lt;'FNCINVLIQ_prospetto riassuntivo'!$B$26+'FNCINVLIQ_prospetto riassuntivo'!$B$29,J32='FNCINVLIQ_prospetto riassuntivo'!$B$26+'FNCINVLIQ_prospetto riassuntivo'!$B$29),1,0))</f>
        <v>1</v>
      </c>
    </row>
    <row r="33" spans="10:17" x14ac:dyDescent="0.25">
      <c r="J33" s="43">
        <f>IF(J32=0,0,IF('FNCINVLIQ_prospetto riassuntivo'!$B$26+'FNCINVLIQ_prospetto riassuntivo'!$B$29&gt;J32,J32+1,0))</f>
        <v>43</v>
      </c>
      <c r="K33" s="44">
        <f>O32*'FNCINVLIQ_prospetto riassuntivo'!$B$31*Q33</f>
        <v>176.73250308786928</v>
      </c>
      <c r="L33" s="44">
        <f t="shared" si="1"/>
        <v>1485.8799713227156</v>
      </c>
      <c r="M33" s="44">
        <f t="shared" si="2"/>
        <v>1662.6124744105848</v>
      </c>
      <c r="N33" s="45">
        <f t="shared" si="3"/>
        <v>44654.278489145458</v>
      </c>
      <c r="O33" s="44">
        <f>('FNCINVLIQ_prospetto riassuntivo'!$B$16-N33)*Q33</f>
        <v>83345.72151085455</v>
      </c>
      <c r="P33" s="44">
        <f>K33/(1+SUM('FNCINVLIQ_prospetto riassuntivo'!$B$32:$B$33)/'FNCINVLIQ_prospetto riassuntivo'!$B$27)^J33</f>
        <v>157.55362548317768</v>
      </c>
      <c r="Q33">
        <f>IF(J33=0,0,IF(OR(J33&lt;'FNCINVLIQ_prospetto riassuntivo'!$B$26+'FNCINVLIQ_prospetto riassuntivo'!$B$29,J33='FNCINVLIQ_prospetto riassuntivo'!$B$26+'FNCINVLIQ_prospetto riassuntivo'!$B$29),1,0))</f>
        <v>1</v>
      </c>
    </row>
    <row r="34" spans="10:17" x14ac:dyDescent="0.25">
      <c r="J34" s="43">
        <f>IF(J33=0,0,IF('FNCINVLIQ_prospetto riassuntivo'!$B$26+'FNCINVLIQ_prospetto riassuntivo'!$B$29&gt;J33,J33+1,0))</f>
        <v>44</v>
      </c>
      <c r="K34" s="44">
        <f>O33*'FNCINVLIQ_prospetto riassuntivo'!$B$31*Q34</f>
        <v>173.6369198142803</v>
      </c>
      <c r="L34" s="44">
        <f t="shared" si="1"/>
        <v>1488.9755545963044</v>
      </c>
      <c r="M34" s="44">
        <f t="shared" si="2"/>
        <v>1662.6124744105848</v>
      </c>
      <c r="N34" s="45">
        <f t="shared" si="3"/>
        <v>46143.254043741763</v>
      </c>
      <c r="O34" s="44">
        <f>('FNCINVLIQ_prospetto riassuntivo'!$B$16-N34)*Q34</f>
        <v>81856.745956258237</v>
      </c>
      <c r="P34" s="44">
        <f>K34/(1+SUM('FNCINVLIQ_prospetto riassuntivo'!$B$32:$B$33)/'FNCINVLIQ_prospetto riassuntivo'!$B$27)^J34</f>
        <v>154.38100338177003</v>
      </c>
      <c r="Q34">
        <f>IF(J34=0,0,IF(OR(J34&lt;'FNCINVLIQ_prospetto riassuntivo'!$B$26+'FNCINVLIQ_prospetto riassuntivo'!$B$29,J34='FNCINVLIQ_prospetto riassuntivo'!$B$26+'FNCINVLIQ_prospetto riassuntivo'!$B$29),1,0))</f>
        <v>1</v>
      </c>
    </row>
    <row r="35" spans="10:17" x14ac:dyDescent="0.25">
      <c r="J35" s="43">
        <f>IF(J34=0,0,IF('FNCINVLIQ_prospetto riassuntivo'!$B$26+'FNCINVLIQ_prospetto riassuntivo'!$B$29&gt;J34,J34+1,0))</f>
        <v>45</v>
      </c>
      <c r="K35" s="44">
        <f>O34*'FNCINVLIQ_prospetto riassuntivo'!$B$31*Q35</f>
        <v>170.53488740887133</v>
      </c>
      <c r="L35" s="44">
        <f t="shared" ref="L35:L66" si="4">M35-K35</f>
        <v>1492.0775870017135</v>
      </c>
      <c r="M35" s="44">
        <f t="shared" si="2"/>
        <v>1662.6124744105848</v>
      </c>
      <c r="N35" s="45">
        <f t="shared" si="3"/>
        <v>47635.33163074348</v>
      </c>
      <c r="O35" s="44">
        <f>('FNCINVLIQ_prospetto riassuntivo'!$B$16-N35)*Q35</f>
        <v>80364.668369256513</v>
      </c>
      <c r="P35" s="44">
        <f>K35/(1+SUM('FNCINVLIQ_prospetto riassuntivo'!$B$32:$B$33)/'FNCINVLIQ_prospetto riassuntivo'!$B$27)^J35</f>
        <v>151.21846949707347</v>
      </c>
      <c r="Q35">
        <f>IF(J35=0,0,IF(OR(J35&lt;'FNCINVLIQ_prospetto riassuntivo'!$B$26+'FNCINVLIQ_prospetto riassuntivo'!$B$29,J35='FNCINVLIQ_prospetto riassuntivo'!$B$26+'FNCINVLIQ_prospetto riassuntivo'!$B$29),1,0))</f>
        <v>1</v>
      </c>
    </row>
    <row r="36" spans="10:17" x14ac:dyDescent="0.25">
      <c r="J36" s="43">
        <f>IF(J35=0,0,IF('FNCINVLIQ_prospetto riassuntivo'!$B$26+'FNCINVLIQ_prospetto riassuntivo'!$B$29&gt;J35,J35+1,0))</f>
        <v>46</v>
      </c>
      <c r="K36" s="44">
        <f>O35*'FNCINVLIQ_prospetto riassuntivo'!$B$31*Q36</f>
        <v>167.42639243595107</v>
      </c>
      <c r="L36" s="44">
        <f t="shared" si="4"/>
        <v>1495.1860819746337</v>
      </c>
      <c r="M36" s="44">
        <f t="shared" ref="M36:M67" si="5">$M$3*Q36</f>
        <v>1662.6124744105848</v>
      </c>
      <c r="N36" s="45">
        <f t="shared" ref="N36:N67" si="6">(L36+N35)*Q36</f>
        <v>49130.517712718116</v>
      </c>
      <c r="O36" s="44">
        <f>('FNCINVLIQ_prospetto riassuntivo'!$B$16-N36)*Q36</f>
        <v>78869.482287281891</v>
      </c>
      <c r="P36" s="44">
        <f>K36/(1+SUM('FNCINVLIQ_prospetto riassuntivo'!$B$32:$B$33)/'FNCINVLIQ_prospetto riassuntivo'!$B$27)^J36</f>
        <v>148.06599595674456</v>
      </c>
      <c r="Q36">
        <f>IF(J36=0,0,IF(OR(J36&lt;'FNCINVLIQ_prospetto riassuntivo'!$B$26+'FNCINVLIQ_prospetto riassuntivo'!$B$29,J36='FNCINVLIQ_prospetto riassuntivo'!$B$26+'FNCINVLIQ_prospetto riassuntivo'!$B$29),1,0))</f>
        <v>1</v>
      </c>
    </row>
    <row r="37" spans="10:17" x14ac:dyDescent="0.25">
      <c r="J37" s="43">
        <f>IF(J36=0,0,IF('FNCINVLIQ_prospetto riassuntivo'!$B$26+'FNCINVLIQ_prospetto riassuntivo'!$B$29&gt;J36,J36+1,0))</f>
        <v>47</v>
      </c>
      <c r="K37" s="44">
        <f>O36*'FNCINVLIQ_prospetto riassuntivo'!$B$31*Q37</f>
        <v>164.31142143183726</v>
      </c>
      <c r="L37" s="44">
        <f t="shared" si="4"/>
        <v>1498.3010529787475</v>
      </c>
      <c r="M37" s="44">
        <f t="shared" si="5"/>
        <v>1662.6124744105848</v>
      </c>
      <c r="N37" s="45">
        <f t="shared" si="6"/>
        <v>50628.818765696866</v>
      </c>
      <c r="O37" s="44">
        <f>('FNCINVLIQ_prospetto riassuntivo'!$B$16-N37)*Q37</f>
        <v>77371.181234303134</v>
      </c>
      <c r="P37" s="44">
        <f>K37/(1+SUM('FNCINVLIQ_prospetto riassuntivo'!$B$32:$B$33)/'FNCINVLIQ_prospetto riassuntivo'!$B$27)^J37</f>
        <v>144.92355496336486</v>
      </c>
      <c r="Q37">
        <f>IF(J37=0,0,IF(OR(J37&lt;'FNCINVLIQ_prospetto riassuntivo'!$B$26+'FNCINVLIQ_prospetto riassuntivo'!$B$29,J37='FNCINVLIQ_prospetto riassuntivo'!$B$26+'FNCINVLIQ_prospetto riassuntivo'!$B$29),1,0))</f>
        <v>1</v>
      </c>
    </row>
    <row r="38" spans="10:17" x14ac:dyDescent="0.25">
      <c r="J38" s="43">
        <f>IF(J37=0,0,IF('FNCINVLIQ_prospetto riassuntivo'!$B$26+'FNCINVLIQ_prospetto riassuntivo'!$B$29&gt;J37,J37+1,0))</f>
        <v>48</v>
      </c>
      <c r="K38" s="44">
        <f>O37*'FNCINVLIQ_prospetto riassuntivo'!$B$31*Q38</f>
        <v>161.1899609047982</v>
      </c>
      <c r="L38" s="44">
        <f t="shared" si="4"/>
        <v>1501.4225135057866</v>
      </c>
      <c r="M38" s="44">
        <f t="shared" si="5"/>
        <v>1662.6124744105848</v>
      </c>
      <c r="N38" s="45">
        <f t="shared" si="6"/>
        <v>52130.241279202652</v>
      </c>
      <c r="O38" s="44">
        <f>('FNCINVLIQ_prospetto riassuntivo'!$B$16-N38)*Q38</f>
        <v>75869.758720797341</v>
      </c>
      <c r="P38" s="44">
        <f>K38/(1+SUM('FNCINVLIQ_prospetto riassuntivo'!$B$32:$B$33)/'FNCINVLIQ_prospetto riassuntivo'!$B$27)^J38</f>
        <v>141.79111879424093</v>
      </c>
      <c r="Q38">
        <f>IF(J38=0,0,IF(OR(J38&lt;'FNCINVLIQ_prospetto riassuntivo'!$B$26+'FNCINVLIQ_prospetto riassuntivo'!$B$29,J38='FNCINVLIQ_prospetto riassuntivo'!$B$26+'FNCINVLIQ_prospetto riassuntivo'!$B$29),1,0))</f>
        <v>1</v>
      </c>
    </row>
    <row r="39" spans="10:17" x14ac:dyDescent="0.25">
      <c r="J39" s="43">
        <f>IF(J38=0,0,IF('FNCINVLIQ_prospetto riassuntivo'!$B$26+'FNCINVLIQ_prospetto riassuntivo'!$B$29&gt;J38,J38+1,0))</f>
        <v>49</v>
      </c>
      <c r="K39" s="44">
        <f>O38*'FNCINVLIQ_prospetto riassuntivo'!$B$31*Q39</f>
        <v>158.06199733499446</v>
      </c>
      <c r="L39" s="44">
        <f t="shared" si="4"/>
        <v>1504.5504770755904</v>
      </c>
      <c r="M39" s="44">
        <f t="shared" si="5"/>
        <v>1662.6124744105848</v>
      </c>
      <c r="N39" s="45">
        <f t="shared" si="6"/>
        <v>53634.791756278239</v>
      </c>
      <c r="O39" s="44">
        <f>('FNCINVLIQ_prospetto riassuntivo'!$B$16-N39)*Q39</f>
        <v>74365.208243721761</v>
      </c>
      <c r="P39" s="44">
        <f>K39/(1+SUM('FNCINVLIQ_prospetto riassuntivo'!$B$32:$B$33)/'FNCINVLIQ_prospetto riassuntivo'!$B$27)^J39</f>
        <v>138.66865980120431</v>
      </c>
      <c r="Q39">
        <f>IF(J39=0,0,IF(OR(J39&lt;'FNCINVLIQ_prospetto riassuntivo'!$B$26+'FNCINVLIQ_prospetto riassuntivo'!$B$29,J39='FNCINVLIQ_prospetto riassuntivo'!$B$26+'FNCINVLIQ_prospetto riassuntivo'!$B$29),1,0))</f>
        <v>1</v>
      </c>
    </row>
    <row r="40" spans="10:17" x14ac:dyDescent="0.25">
      <c r="J40" s="43">
        <f>IF(J39=0,0,IF('FNCINVLIQ_prospetto riassuntivo'!$B$26+'FNCINVLIQ_prospetto riassuntivo'!$B$29&gt;J39,J39+1,0))</f>
        <v>50</v>
      </c>
      <c r="K40" s="44">
        <f>O39*'FNCINVLIQ_prospetto riassuntivo'!$B$31*Q40</f>
        <v>154.92751717442033</v>
      </c>
      <c r="L40" s="44">
        <f t="shared" si="4"/>
        <v>1507.6849572361646</v>
      </c>
      <c r="M40" s="44">
        <f t="shared" si="5"/>
        <v>1662.6124744105848</v>
      </c>
      <c r="N40" s="45">
        <f t="shared" si="6"/>
        <v>55142.476713514407</v>
      </c>
      <c r="O40" s="44">
        <f>('FNCINVLIQ_prospetto riassuntivo'!$B$16-N40)*Q40</f>
        <v>72857.523286485593</v>
      </c>
      <c r="P40" s="44">
        <f>K40/(1+SUM('FNCINVLIQ_prospetto riassuntivo'!$B$32:$B$33)/'FNCINVLIQ_prospetto riassuntivo'!$B$27)^J40</f>
        <v>135.55615041041287</v>
      </c>
      <c r="Q40">
        <f>IF(J40=0,0,IF(OR(J40&lt;'FNCINVLIQ_prospetto riassuntivo'!$B$26+'FNCINVLIQ_prospetto riassuntivo'!$B$29,J40='FNCINVLIQ_prospetto riassuntivo'!$B$26+'FNCINVLIQ_prospetto riassuntivo'!$B$29),1,0))</f>
        <v>1</v>
      </c>
    </row>
    <row r="41" spans="10:17" x14ac:dyDescent="0.25">
      <c r="J41" s="43">
        <f>IF(J40=0,0,IF('FNCINVLIQ_prospetto riassuntivo'!$B$26+'FNCINVLIQ_prospetto riassuntivo'!$B$29&gt;J40,J40+1,0))</f>
        <v>51</v>
      </c>
      <c r="K41" s="44">
        <f>O40*'FNCINVLIQ_prospetto riassuntivo'!$B$31*Q41</f>
        <v>151.78650684684499</v>
      </c>
      <c r="L41" s="44">
        <f t="shared" si="4"/>
        <v>1510.8259675637398</v>
      </c>
      <c r="M41" s="44">
        <f t="shared" si="5"/>
        <v>1662.6124744105848</v>
      </c>
      <c r="N41" s="45">
        <f t="shared" si="6"/>
        <v>56653.302681078145</v>
      </c>
      <c r="O41" s="44">
        <f>('FNCINVLIQ_prospetto riassuntivo'!$B$16-N41)*Q41</f>
        <v>71346.697318921855</v>
      </c>
      <c r="P41" s="44">
        <f>K41/(1+SUM('FNCINVLIQ_prospetto riassuntivo'!$B$32:$B$33)/'FNCINVLIQ_prospetto riassuntivo'!$B$27)^J41</f>
        <v>132.45356312215173</v>
      </c>
      <c r="Q41">
        <f>IF(J41=0,0,IF(OR(J41&lt;'FNCINVLIQ_prospetto riassuntivo'!$B$26+'FNCINVLIQ_prospetto riassuntivo'!$B$29,J41='FNCINVLIQ_prospetto riassuntivo'!$B$26+'FNCINVLIQ_prospetto riassuntivo'!$B$29),1,0))</f>
        <v>1</v>
      </c>
    </row>
    <row r="42" spans="10:17" x14ac:dyDescent="0.25">
      <c r="J42" s="43">
        <f>IF(J41=0,0,IF('FNCINVLIQ_prospetto riassuntivo'!$B$26+'FNCINVLIQ_prospetto riassuntivo'!$B$29&gt;J41,J41+1,0))</f>
        <v>52</v>
      </c>
      <c r="K42" s="44">
        <f>O41*'FNCINVLIQ_prospetto riassuntivo'!$B$31*Q42</f>
        <v>148.63895274775388</v>
      </c>
      <c r="L42" s="44">
        <f t="shared" si="4"/>
        <v>1513.973521662831</v>
      </c>
      <c r="M42" s="44">
        <f t="shared" si="5"/>
        <v>1662.6124744105848</v>
      </c>
      <c r="N42" s="45">
        <f t="shared" si="6"/>
        <v>58167.276202740977</v>
      </c>
      <c r="O42" s="44">
        <f>('FNCINVLIQ_prospetto riassuntivo'!$B$16-N42)*Q42</f>
        <v>69832.723797259023</v>
      </c>
      <c r="P42" s="44">
        <f>K42/(1+SUM('FNCINVLIQ_prospetto riassuntivo'!$B$32:$B$33)/'FNCINVLIQ_prospetto riassuntivo'!$B$27)^J42</f>
        <v>129.36087051063546</v>
      </c>
      <c r="Q42">
        <f>IF(J42=0,0,IF(OR(J42&lt;'FNCINVLIQ_prospetto riassuntivo'!$B$26+'FNCINVLIQ_prospetto riassuntivo'!$B$29,J42='FNCINVLIQ_prospetto riassuntivo'!$B$26+'FNCINVLIQ_prospetto riassuntivo'!$B$29),1,0))</f>
        <v>1</v>
      </c>
    </row>
    <row r="43" spans="10:17" x14ac:dyDescent="0.25">
      <c r="J43" s="43">
        <f>IF(J42=0,0,IF('FNCINVLIQ_prospetto riassuntivo'!$B$26+'FNCINVLIQ_prospetto riassuntivo'!$B$29&gt;J42,J42+1,0))</f>
        <v>53</v>
      </c>
      <c r="K43" s="44">
        <f>O42*'FNCINVLIQ_prospetto riassuntivo'!$B$31*Q43</f>
        <v>145.48484124428964</v>
      </c>
      <c r="L43" s="44">
        <f t="shared" si="4"/>
        <v>1517.1276331662953</v>
      </c>
      <c r="M43" s="44">
        <f t="shared" si="5"/>
        <v>1662.6124744105848</v>
      </c>
      <c r="N43" s="45">
        <f t="shared" si="6"/>
        <v>59684.403835907273</v>
      </c>
      <c r="O43" s="44">
        <f>('FNCINVLIQ_prospetto riassuntivo'!$B$16-N43)*Q43</f>
        <v>68315.596164092727</v>
      </c>
      <c r="P43" s="44">
        <f>K43/(1+SUM('FNCINVLIQ_prospetto riassuntivo'!$B$32:$B$33)/'FNCINVLIQ_prospetto riassuntivo'!$B$27)^J43</f>
        <v>126.2780452238103</v>
      </c>
      <c r="Q43">
        <f>IF(J43=0,0,IF(OR(J43&lt;'FNCINVLIQ_prospetto riassuntivo'!$B$26+'FNCINVLIQ_prospetto riassuntivo'!$B$29,J43='FNCINVLIQ_prospetto riassuntivo'!$B$26+'FNCINVLIQ_prospetto riassuntivo'!$B$29),1,0))</f>
        <v>1</v>
      </c>
    </row>
    <row r="44" spans="10:17" x14ac:dyDescent="0.25">
      <c r="J44" s="43">
        <f>IF(J43=0,0,IF('FNCINVLIQ_prospetto riassuntivo'!$B$26+'FNCINVLIQ_prospetto riassuntivo'!$B$29&gt;J43,J43+1,0))</f>
        <v>54</v>
      </c>
      <c r="K44" s="44">
        <f>O43*'FNCINVLIQ_prospetto riassuntivo'!$B$31*Q44</f>
        <v>142.32415867519319</v>
      </c>
      <c r="L44" s="44">
        <f t="shared" si="4"/>
        <v>1520.2883157353917</v>
      </c>
      <c r="M44" s="44">
        <f t="shared" si="5"/>
        <v>1662.6124744105848</v>
      </c>
      <c r="N44" s="45">
        <f t="shared" si="6"/>
        <v>61204.692151642666</v>
      </c>
      <c r="O44" s="44">
        <f>('FNCINVLIQ_prospetto riassuntivo'!$B$16-N44)*Q44</f>
        <v>66795.307848357334</v>
      </c>
      <c r="P44" s="44">
        <f>K44/(1+SUM('FNCINVLIQ_prospetto riassuntivo'!$B$32:$B$33)/'FNCINVLIQ_prospetto riassuntivo'!$B$27)^J44</f>
        <v>123.20505998315724</v>
      </c>
      <c r="Q44">
        <f>IF(J44=0,0,IF(OR(J44&lt;'FNCINVLIQ_prospetto riassuntivo'!$B$26+'FNCINVLIQ_prospetto riassuntivo'!$B$29,J44='FNCINVLIQ_prospetto riassuntivo'!$B$26+'FNCINVLIQ_prospetto riassuntivo'!$B$29),1,0))</f>
        <v>1</v>
      </c>
    </row>
    <row r="45" spans="10:17" x14ac:dyDescent="0.25">
      <c r="J45" s="43">
        <f>IF(J44=0,0,IF('FNCINVLIQ_prospetto riassuntivo'!$B$26+'FNCINVLIQ_prospetto riassuntivo'!$B$29&gt;J44,J44+1,0))</f>
        <v>55</v>
      </c>
      <c r="K45" s="44">
        <f>O44*'FNCINVLIQ_prospetto riassuntivo'!$B$31*Q45</f>
        <v>139.15689135074444</v>
      </c>
      <c r="L45" s="44">
        <f t="shared" si="4"/>
        <v>1523.4555830598404</v>
      </c>
      <c r="M45" s="44">
        <f t="shared" si="5"/>
        <v>1662.6124744105848</v>
      </c>
      <c r="N45" s="45">
        <f t="shared" si="6"/>
        <v>62728.147734702507</v>
      </c>
      <c r="O45" s="44">
        <f>('FNCINVLIQ_prospetto riassuntivo'!$B$16-N45)*Q45</f>
        <v>65271.852265297493</v>
      </c>
      <c r="P45" s="44">
        <f>K45/(1+SUM('FNCINVLIQ_prospetto riassuntivo'!$B$32:$B$33)/'FNCINVLIQ_prospetto riassuntivo'!$B$27)^J45</f>
        <v>120.14188758349553</v>
      </c>
      <c r="Q45">
        <f>IF(J45=0,0,IF(OR(J45&lt;'FNCINVLIQ_prospetto riassuntivo'!$B$26+'FNCINVLIQ_prospetto riassuntivo'!$B$29,J45='FNCINVLIQ_prospetto riassuntivo'!$B$26+'FNCINVLIQ_prospetto riassuntivo'!$B$29),1,0))</f>
        <v>1</v>
      </c>
    </row>
    <row r="46" spans="10:17" x14ac:dyDescent="0.25">
      <c r="J46" s="43">
        <f>IF(J45=0,0,IF('FNCINVLIQ_prospetto riassuntivo'!$B$26+'FNCINVLIQ_prospetto riassuntivo'!$B$29&gt;J45,J45+1,0))</f>
        <v>56</v>
      </c>
      <c r="K46" s="44">
        <f>O45*'FNCINVLIQ_prospetto riassuntivo'!$B$31*Q46</f>
        <v>135.98302555270311</v>
      </c>
      <c r="L46" s="44">
        <f t="shared" si="4"/>
        <v>1526.6294488578817</v>
      </c>
      <c r="M46" s="44">
        <f t="shared" si="5"/>
        <v>1662.6124744105848</v>
      </c>
      <c r="N46" s="45">
        <f t="shared" si="6"/>
        <v>64254.777183560385</v>
      </c>
      <c r="O46" s="44">
        <f>('FNCINVLIQ_prospetto riassuntivo'!$B$16-N46)*Q46</f>
        <v>63745.222816439615</v>
      </c>
      <c r="P46" s="44">
        <f>K46/(1+SUM('FNCINVLIQ_prospetto riassuntivo'!$B$32:$B$33)/'FNCINVLIQ_prospetto riassuntivo'!$B$27)^J46</f>
        <v>117.0885008927867</v>
      </c>
      <c r="Q46">
        <f>IF(J46=0,0,IF(OR(J46&lt;'FNCINVLIQ_prospetto riassuntivo'!$B$26+'FNCINVLIQ_prospetto riassuntivo'!$B$29,J46='FNCINVLIQ_prospetto riassuntivo'!$B$26+'FNCINVLIQ_prospetto riassuntivo'!$B$29),1,0))</f>
        <v>1</v>
      </c>
    </row>
    <row r="47" spans="10:17" x14ac:dyDescent="0.25">
      <c r="J47" s="43">
        <f>IF(J46=0,0,IF('FNCINVLIQ_prospetto riassuntivo'!$B$26+'FNCINVLIQ_prospetto riassuntivo'!$B$29&gt;J46,J46+1,0))</f>
        <v>57</v>
      </c>
      <c r="K47" s="44">
        <f>O46*'FNCINVLIQ_prospetto riassuntivo'!$B$31*Q47</f>
        <v>132.80254753424919</v>
      </c>
      <c r="L47" s="44">
        <f t="shared" si="4"/>
        <v>1529.8099268763356</v>
      </c>
      <c r="M47" s="44">
        <f t="shared" si="5"/>
        <v>1662.6124744105848</v>
      </c>
      <c r="N47" s="45">
        <f t="shared" si="6"/>
        <v>65784.587110436725</v>
      </c>
      <c r="O47" s="44">
        <f>('FNCINVLIQ_prospetto riassuntivo'!$B$16-N47)*Q47</f>
        <v>62215.412889563275</v>
      </c>
      <c r="P47" s="44">
        <f>K47/(1+SUM('FNCINVLIQ_prospetto riassuntivo'!$B$32:$B$33)/'FNCINVLIQ_prospetto riassuntivo'!$B$27)^J47</f>
        <v>114.04487285193882</v>
      </c>
      <c r="Q47">
        <f>IF(J47=0,0,IF(OR(J47&lt;'FNCINVLIQ_prospetto riassuntivo'!$B$26+'FNCINVLIQ_prospetto riassuntivo'!$B$29,J47='FNCINVLIQ_prospetto riassuntivo'!$B$26+'FNCINVLIQ_prospetto riassuntivo'!$B$29),1,0))</f>
        <v>1</v>
      </c>
    </row>
    <row r="48" spans="10:17" x14ac:dyDescent="0.25">
      <c r="J48" s="43">
        <f>IF(J47=0,0,IF('FNCINVLIQ_prospetto riassuntivo'!$B$26+'FNCINVLIQ_prospetto riassuntivo'!$B$29&gt;J47,J47+1,0))</f>
        <v>58</v>
      </c>
      <c r="K48" s="44">
        <f>O47*'FNCINVLIQ_prospetto riassuntivo'!$B$31*Q48</f>
        <v>129.61544351992347</v>
      </c>
      <c r="L48" s="44">
        <f t="shared" si="4"/>
        <v>1532.9970308906613</v>
      </c>
      <c r="M48" s="44">
        <f t="shared" si="5"/>
        <v>1662.6124744105848</v>
      </c>
      <c r="N48" s="45">
        <f t="shared" si="6"/>
        <v>67317.584141327388</v>
      </c>
      <c r="O48" s="44">
        <f>('FNCINVLIQ_prospetto riassuntivo'!$B$16-N48)*Q48</f>
        <v>60682.415858672612</v>
      </c>
      <c r="P48" s="44">
        <f>K48/(1+SUM('FNCINVLIQ_prospetto riassuntivo'!$B$32:$B$33)/'FNCINVLIQ_prospetto riassuntivo'!$B$27)^J48</f>
        <v>111.01097647461205</v>
      </c>
      <c r="Q48">
        <f>IF(J48=0,0,IF(OR(J48&lt;'FNCINVLIQ_prospetto riassuntivo'!$B$26+'FNCINVLIQ_prospetto riassuntivo'!$B$29,J48='FNCINVLIQ_prospetto riassuntivo'!$B$26+'FNCINVLIQ_prospetto riassuntivo'!$B$29),1,0))</f>
        <v>1</v>
      </c>
    </row>
    <row r="49" spans="10:17" x14ac:dyDescent="0.25">
      <c r="J49" s="43">
        <f>IF(J48=0,0,IF('FNCINVLIQ_prospetto riassuntivo'!$B$26+'FNCINVLIQ_prospetto riassuntivo'!$B$29&gt;J48,J48+1,0))</f>
        <v>59</v>
      </c>
      <c r="K49" s="44">
        <f>O48*'FNCINVLIQ_prospetto riassuntivo'!$B$31*Q49</f>
        <v>126.42169970556795</v>
      </c>
      <c r="L49" s="44">
        <f t="shared" si="4"/>
        <v>1536.1907747050168</v>
      </c>
      <c r="M49" s="44">
        <f t="shared" si="5"/>
        <v>1662.6124744105848</v>
      </c>
      <c r="N49" s="45">
        <f t="shared" si="6"/>
        <v>68853.774916032402</v>
      </c>
      <c r="O49" s="44">
        <f>('FNCINVLIQ_prospetto riassuntivo'!$B$16-N49)*Q49</f>
        <v>59146.225083967598</v>
      </c>
      <c r="P49" s="44">
        <f>K49/(1+SUM('FNCINVLIQ_prospetto riassuntivo'!$B$32:$B$33)/'FNCINVLIQ_prospetto riassuntivo'!$B$27)^J49</f>
        <v>107.98678484702373</v>
      </c>
      <c r="Q49">
        <f>IF(J49=0,0,IF(OR(J49&lt;'FNCINVLIQ_prospetto riassuntivo'!$B$26+'FNCINVLIQ_prospetto riassuntivo'!$B$29,J49='FNCINVLIQ_prospetto riassuntivo'!$B$26+'FNCINVLIQ_prospetto riassuntivo'!$B$29),1,0))</f>
        <v>1</v>
      </c>
    </row>
    <row r="50" spans="10:17" x14ac:dyDescent="0.25">
      <c r="J50" s="43">
        <f>IF(J49=0,0,IF('FNCINVLIQ_prospetto riassuntivo'!$B$26+'FNCINVLIQ_prospetto riassuntivo'!$B$29&gt;J49,J49+1,0))</f>
        <v>60</v>
      </c>
      <c r="K50" s="44">
        <f>O49*'FNCINVLIQ_prospetto riassuntivo'!$B$31*Q50</f>
        <v>123.22130225826582</v>
      </c>
      <c r="L50" s="44">
        <f t="shared" si="4"/>
        <v>1539.3911721523191</v>
      </c>
      <c r="M50" s="44">
        <f t="shared" si="5"/>
        <v>1662.6124744105848</v>
      </c>
      <c r="N50" s="45">
        <f t="shared" si="6"/>
        <v>70393.16608818472</v>
      </c>
      <c r="O50" s="44">
        <f>('FNCINVLIQ_prospetto riassuntivo'!$B$16-N50)*Q50</f>
        <v>57606.83391181528</v>
      </c>
      <c r="P50" s="44">
        <f>K50/(1+SUM('FNCINVLIQ_prospetto riassuntivo'!$B$32:$B$33)/'FNCINVLIQ_prospetto riassuntivo'!$B$27)^J50</f>
        <v>104.97227112775485</v>
      </c>
      <c r="Q50">
        <f>IF(J50=0,0,IF(OR(J50&lt;'FNCINVLIQ_prospetto riassuntivo'!$B$26+'FNCINVLIQ_prospetto riassuntivo'!$B$29,J50='FNCINVLIQ_prospetto riassuntivo'!$B$26+'FNCINVLIQ_prospetto riassuntivo'!$B$29),1,0))</f>
        <v>1</v>
      </c>
    </row>
    <row r="51" spans="10:17" x14ac:dyDescent="0.25">
      <c r="J51" s="43">
        <f>IF(J50=0,0,IF('FNCINVLIQ_prospetto riassuntivo'!$B$26+'FNCINVLIQ_prospetto riassuntivo'!$B$29&gt;J50,J50+1,0))</f>
        <v>61</v>
      </c>
      <c r="K51" s="44">
        <f>O50*'FNCINVLIQ_prospetto riassuntivo'!$B$31*Q51</f>
        <v>120.01423731628184</v>
      </c>
      <c r="L51" s="44">
        <f t="shared" si="4"/>
        <v>1542.5982370943029</v>
      </c>
      <c r="M51" s="44">
        <f t="shared" si="5"/>
        <v>1662.6124744105848</v>
      </c>
      <c r="N51" s="45">
        <f t="shared" si="6"/>
        <v>71935.764325279029</v>
      </c>
      <c r="O51" s="44">
        <f>('FNCINVLIQ_prospetto riassuntivo'!$B$16-N51)*Q51</f>
        <v>56064.235674720971</v>
      </c>
      <c r="P51" s="44">
        <f>K51/(1+SUM('FNCINVLIQ_prospetto riassuntivo'!$B$32:$B$33)/'FNCINVLIQ_prospetto riassuntivo'!$B$27)^J51</f>
        <v>101.9674085475564</v>
      </c>
      <c r="Q51">
        <f>IF(J51=0,0,IF(OR(J51&lt;'FNCINVLIQ_prospetto riassuntivo'!$B$26+'FNCINVLIQ_prospetto riassuntivo'!$B$29,J51='FNCINVLIQ_prospetto riassuntivo'!$B$26+'FNCINVLIQ_prospetto riassuntivo'!$B$29),1,0))</f>
        <v>1</v>
      </c>
    </row>
    <row r="52" spans="10:17" x14ac:dyDescent="0.25">
      <c r="J52" s="43">
        <f>IF(J51=0,0,IF('FNCINVLIQ_prospetto riassuntivo'!$B$26+'FNCINVLIQ_prospetto riassuntivo'!$B$29&gt;J51,J51+1,0))</f>
        <v>62</v>
      </c>
      <c r="K52" s="44">
        <f>O51*'FNCINVLIQ_prospetto riassuntivo'!$B$31*Q52</f>
        <v>116.80049098900201</v>
      </c>
      <c r="L52" s="44">
        <f t="shared" si="4"/>
        <v>1545.8119834215827</v>
      </c>
      <c r="M52" s="44">
        <f t="shared" si="5"/>
        <v>1662.6124744105848</v>
      </c>
      <c r="N52" s="45">
        <f t="shared" si="6"/>
        <v>73481.576308700605</v>
      </c>
      <c r="O52" s="44">
        <f>('FNCINVLIQ_prospetto riassuntivo'!$B$16-N52)*Q52</f>
        <v>54518.423691299395</v>
      </c>
      <c r="P52" s="44">
        <f>K52/(1+SUM('FNCINVLIQ_prospetto riassuntivo'!$B$32:$B$33)/'FNCINVLIQ_prospetto riassuntivo'!$B$27)^J52</f>
        <v>98.972170409156618</v>
      </c>
      <c r="Q52">
        <f>IF(J52=0,0,IF(OR(J52&lt;'FNCINVLIQ_prospetto riassuntivo'!$B$26+'FNCINVLIQ_prospetto riassuntivo'!$B$29,J52='FNCINVLIQ_prospetto riassuntivo'!$B$26+'FNCINVLIQ_prospetto riassuntivo'!$B$29),1,0))</f>
        <v>1</v>
      </c>
    </row>
    <row r="53" spans="10:17" x14ac:dyDescent="0.25">
      <c r="J53" s="43">
        <f>IF(J52=0,0,IF('FNCINVLIQ_prospetto riassuntivo'!$B$26+'FNCINVLIQ_prospetto riassuntivo'!$B$29&gt;J52,J52+1,0))</f>
        <v>63</v>
      </c>
      <c r="K53" s="44">
        <f>O52*'FNCINVLIQ_prospetto riassuntivo'!$B$31*Q53</f>
        <v>113.58004935687374</v>
      </c>
      <c r="L53" s="44">
        <f t="shared" si="4"/>
        <v>1549.032425053711</v>
      </c>
      <c r="M53" s="44">
        <f t="shared" si="5"/>
        <v>1662.6124744105848</v>
      </c>
      <c r="N53" s="45">
        <f t="shared" si="6"/>
        <v>75030.608733754314</v>
      </c>
      <c r="O53" s="44">
        <f>('FNCINVLIQ_prospetto riassuntivo'!$B$16-N53)*Q53</f>
        <v>52969.391266245686</v>
      </c>
      <c r="P53" s="44">
        <f>K53/(1+SUM('FNCINVLIQ_prospetto riassuntivo'!$B$32:$B$33)/'FNCINVLIQ_prospetto riassuntivo'!$B$27)^J53</f>
        <v>95.986530087068701</v>
      </c>
      <c r="Q53">
        <f>IF(J53=0,0,IF(OR(J53&lt;'FNCINVLIQ_prospetto riassuntivo'!$B$26+'FNCINVLIQ_prospetto riassuntivo'!$B$29,J53='FNCINVLIQ_prospetto riassuntivo'!$B$26+'FNCINVLIQ_prospetto riassuntivo'!$B$29),1,0))</f>
        <v>1</v>
      </c>
    </row>
    <row r="54" spans="10:17" x14ac:dyDescent="0.25">
      <c r="J54" s="43">
        <f>IF(J53=0,0,IF('FNCINVLIQ_prospetto riassuntivo'!$B$26+'FNCINVLIQ_prospetto riassuntivo'!$B$29&gt;J53,J53+1,0))</f>
        <v>64</v>
      </c>
      <c r="K54" s="44">
        <f>O53*'FNCINVLIQ_prospetto riassuntivo'!$B$31*Q54</f>
        <v>110.35289847134517</v>
      </c>
      <c r="L54" s="44">
        <f t="shared" si="4"/>
        <v>1552.2595759392395</v>
      </c>
      <c r="M54" s="44">
        <f t="shared" si="5"/>
        <v>1662.6124744105848</v>
      </c>
      <c r="N54" s="45">
        <f t="shared" si="6"/>
        <v>76582.868309693557</v>
      </c>
      <c r="O54" s="44">
        <f>('FNCINVLIQ_prospetto riassuntivo'!$B$16-N54)*Q54</f>
        <v>51417.131690306443</v>
      </c>
      <c r="P54" s="44">
        <f>K54/(1+SUM('FNCINVLIQ_prospetto riassuntivo'!$B$32:$B$33)/'FNCINVLIQ_prospetto riassuntivo'!$B$27)^J54</f>
        <v>93.010461027398762</v>
      </c>
      <c r="Q54">
        <f>IF(J54=0,0,IF(OR(J54&lt;'FNCINVLIQ_prospetto riassuntivo'!$B$26+'FNCINVLIQ_prospetto riassuntivo'!$B$29,J54='FNCINVLIQ_prospetto riassuntivo'!$B$26+'FNCINVLIQ_prospetto riassuntivo'!$B$29),1,0))</f>
        <v>1</v>
      </c>
    </row>
    <row r="55" spans="10:17" x14ac:dyDescent="0.25">
      <c r="J55" s="43">
        <f>IF(J54=0,0,IF('FNCINVLIQ_prospetto riassuntivo'!$B$26+'FNCINVLIQ_prospetto riassuntivo'!$B$29&gt;J54,J54+1,0))</f>
        <v>65</v>
      </c>
      <c r="K55" s="44">
        <f>O54*'FNCINVLIQ_prospetto riassuntivo'!$B$31*Q55</f>
        <v>107.11902435480509</v>
      </c>
      <c r="L55" s="44">
        <f t="shared" si="4"/>
        <v>1555.4934500557797</v>
      </c>
      <c r="M55" s="44">
        <f t="shared" si="5"/>
        <v>1662.6124744105848</v>
      </c>
      <c r="N55" s="45">
        <f t="shared" si="6"/>
        <v>78138.361759749343</v>
      </c>
      <c r="O55" s="44">
        <f>('FNCINVLIQ_prospetto riassuntivo'!$B$16-N55)*Q55</f>
        <v>49861.638240250657</v>
      </c>
      <c r="P55" s="44">
        <f>K55/(1+SUM('FNCINVLIQ_prospetto riassuntivo'!$B$32:$B$33)/'FNCINVLIQ_prospetto riassuntivo'!$B$27)^J55</f>
        <v>90.043936747654698</v>
      </c>
      <c r="Q55">
        <f>IF(J55=0,0,IF(OR(J55&lt;'FNCINVLIQ_prospetto riassuntivo'!$B$26+'FNCINVLIQ_prospetto riassuntivo'!$B$29,J55='FNCINVLIQ_prospetto riassuntivo'!$B$26+'FNCINVLIQ_prospetto riassuntivo'!$B$29),1,0))</f>
        <v>1</v>
      </c>
    </row>
    <row r="56" spans="10:17" x14ac:dyDescent="0.25">
      <c r="J56" s="43">
        <f>IF(J55=0,0,IF('FNCINVLIQ_prospetto riassuntivo'!$B$26+'FNCINVLIQ_prospetto riassuntivo'!$B$29&gt;J55,J55+1,0))</f>
        <v>66</v>
      </c>
      <c r="K56" s="44">
        <f>O55*'FNCINVLIQ_prospetto riassuntivo'!$B$31*Q56</f>
        <v>103.8784130005222</v>
      </c>
      <c r="L56" s="44">
        <f t="shared" si="4"/>
        <v>1558.7340614100626</v>
      </c>
      <c r="M56" s="44">
        <f t="shared" si="5"/>
        <v>1662.6124744105848</v>
      </c>
      <c r="N56" s="45">
        <f t="shared" si="6"/>
        <v>79697.095821159412</v>
      </c>
      <c r="O56" s="44">
        <f>('FNCINVLIQ_prospetto riassuntivo'!$B$16-N56)*Q56</f>
        <v>48302.904178840588</v>
      </c>
      <c r="P56" s="44">
        <f>K56/(1+SUM('FNCINVLIQ_prospetto riassuntivo'!$B$32:$B$33)/'FNCINVLIQ_prospetto riassuntivo'!$B$27)^J56</f>
        <v>87.086930836555226</v>
      </c>
      <c r="Q56">
        <f>IF(J56=0,0,IF(OR(J56&lt;'FNCINVLIQ_prospetto riassuntivo'!$B$26+'FNCINVLIQ_prospetto riassuntivo'!$B$29,J56='FNCINVLIQ_prospetto riassuntivo'!$B$26+'FNCINVLIQ_prospetto riassuntivo'!$B$29),1,0))</f>
        <v>1</v>
      </c>
    </row>
    <row r="57" spans="10:17" x14ac:dyDescent="0.25">
      <c r="J57" s="43">
        <f>IF(J56=0,0,IF('FNCINVLIQ_prospetto riassuntivo'!$B$26+'FNCINVLIQ_prospetto riassuntivo'!$B$29&gt;J56,J56+1,0))</f>
        <v>67</v>
      </c>
      <c r="K57" s="44">
        <f>O56*'FNCINVLIQ_prospetto riassuntivo'!$B$31*Q57</f>
        <v>100.63105037258455</v>
      </c>
      <c r="L57" s="44">
        <f t="shared" si="4"/>
        <v>1561.9814240380003</v>
      </c>
      <c r="M57" s="44">
        <f t="shared" si="5"/>
        <v>1662.6124744105848</v>
      </c>
      <c r="N57" s="45">
        <f t="shared" si="6"/>
        <v>81259.077245197419</v>
      </c>
      <c r="O57" s="44">
        <f>('FNCINVLIQ_prospetto riassuntivo'!$B$16-N57)*Q57</f>
        <v>46740.922754802581</v>
      </c>
      <c r="P57" s="44">
        <f>K57/(1+SUM('FNCINVLIQ_prospetto riassuntivo'!$B$32:$B$33)/'FNCINVLIQ_prospetto riassuntivo'!$B$27)^J57</f>
        <v>84.139416953839671</v>
      </c>
      <c r="Q57">
        <f>IF(J57=0,0,IF(OR(J57&lt;'FNCINVLIQ_prospetto riassuntivo'!$B$26+'FNCINVLIQ_prospetto riassuntivo'!$B$29,J57='FNCINVLIQ_prospetto riassuntivo'!$B$26+'FNCINVLIQ_prospetto riassuntivo'!$B$29),1,0))</f>
        <v>1</v>
      </c>
    </row>
    <row r="58" spans="10:17" x14ac:dyDescent="0.25">
      <c r="J58" s="43">
        <f>IF(J57=0,0,IF('FNCINVLIQ_prospetto riassuntivo'!$B$26+'FNCINVLIQ_prospetto riassuntivo'!$B$29&gt;J57,J57+1,0))</f>
        <v>68</v>
      </c>
      <c r="K58" s="44">
        <f>O57*'FNCINVLIQ_prospetto riassuntivo'!$B$31*Q58</f>
        <v>97.376922405838712</v>
      </c>
      <c r="L58" s="44">
        <f t="shared" si="4"/>
        <v>1565.2355520047461</v>
      </c>
      <c r="M58" s="44">
        <f t="shared" si="5"/>
        <v>1662.6124744105848</v>
      </c>
      <c r="N58" s="45">
        <f t="shared" si="6"/>
        <v>82824.312797202161</v>
      </c>
      <c r="O58" s="44">
        <f>('FNCINVLIQ_prospetto riassuntivo'!$B$16-N58)*Q58</f>
        <v>45175.687202797839</v>
      </c>
      <c r="P58" s="44">
        <f>K58/(1+SUM('FNCINVLIQ_prospetto riassuntivo'!$B$32:$B$33)/'FNCINVLIQ_prospetto riassuntivo'!$B$27)^J58</f>
        <v>81.201368830078181</v>
      </c>
      <c r="Q58">
        <f>IF(J58=0,0,IF(OR(J58&lt;'FNCINVLIQ_prospetto riassuntivo'!$B$26+'FNCINVLIQ_prospetto riassuntivo'!$B$29,J58='FNCINVLIQ_prospetto riassuntivo'!$B$26+'FNCINVLIQ_prospetto riassuntivo'!$B$29),1,0))</f>
        <v>1</v>
      </c>
    </row>
    <row r="59" spans="10:17" x14ac:dyDescent="0.25">
      <c r="J59" s="43">
        <f>IF(J58=0,0,IF('FNCINVLIQ_prospetto riassuntivo'!$B$26+'FNCINVLIQ_prospetto riassuntivo'!$B$29&gt;J58,J58+1,0))</f>
        <v>69</v>
      </c>
      <c r="K59" s="44">
        <f>O58*'FNCINVLIQ_prospetto riassuntivo'!$B$31*Q59</f>
        <v>94.116015005828828</v>
      </c>
      <c r="L59" s="44">
        <f t="shared" si="4"/>
        <v>1568.496459404756</v>
      </c>
      <c r="M59" s="44">
        <f t="shared" si="5"/>
        <v>1662.6124744105848</v>
      </c>
      <c r="N59" s="45">
        <f t="shared" si="6"/>
        <v>84392.80925660691</v>
      </c>
      <c r="O59" s="44">
        <f>('FNCINVLIQ_prospetto riassuntivo'!$B$16-N59)*Q59</f>
        <v>43607.19074339309</v>
      </c>
      <c r="P59" s="44">
        <f>K59/(1+SUM('FNCINVLIQ_prospetto riassuntivo'!$B$32:$B$33)/'FNCINVLIQ_prospetto riassuntivo'!$B$27)^J59</f>
        <v>78.27276026648228</v>
      </c>
      <c r="Q59">
        <f>IF(J59=0,0,IF(OR(J59&lt;'FNCINVLIQ_prospetto riassuntivo'!$B$26+'FNCINVLIQ_prospetto riassuntivo'!$B$29,J59='FNCINVLIQ_prospetto riassuntivo'!$B$26+'FNCINVLIQ_prospetto riassuntivo'!$B$29),1,0))</f>
        <v>1</v>
      </c>
    </row>
    <row r="60" spans="10:17" x14ac:dyDescent="0.25">
      <c r="J60" s="43">
        <f>IF(J59=0,0,IF('FNCINVLIQ_prospetto riassuntivo'!$B$26+'FNCINVLIQ_prospetto riassuntivo'!$B$29&gt;J59,J59+1,0))</f>
        <v>70</v>
      </c>
      <c r="K60" s="44">
        <f>O59*'FNCINVLIQ_prospetto riassuntivo'!$B$31*Q60</f>
        <v>90.848314048735602</v>
      </c>
      <c r="L60" s="44">
        <f t="shared" si="4"/>
        <v>1571.7641603618492</v>
      </c>
      <c r="M60" s="44">
        <f t="shared" si="5"/>
        <v>1662.6124744105848</v>
      </c>
      <c r="N60" s="45">
        <f t="shared" si="6"/>
        <v>85964.573416968764</v>
      </c>
      <c r="O60" s="44">
        <f>('FNCINVLIQ_prospetto riassuntivo'!$B$16-N60)*Q60</f>
        <v>42035.426583031236</v>
      </c>
      <c r="P60" s="44">
        <f>K60/(1+SUM('FNCINVLIQ_prospetto riassuntivo'!$B$32:$B$33)/'FNCINVLIQ_prospetto riassuntivo'!$B$27)^J60</f>
        <v>75.35356513471622</v>
      </c>
      <c r="Q60">
        <f>IF(J60=0,0,IF(OR(J60&lt;'FNCINVLIQ_prospetto riassuntivo'!$B$26+'FNCINVLIQ_prospetto riassuntivo'!$B$29,J60='FNCINVLIQ_prospetto riassuntivo'!$B$26+'FNCINVLIQ_prospetto riassuntivo'!$B$29),1,0))</f>
        <v>1</v>
      </c>
    </row>
    <row r="61" spans="10:17" x14ac:dyDescent="0.25">
      <c r="J61" s="43">
        <f>IF(J60=0,0,IF('FNCINVLIQ_prospetto riassuntivo'!$B$26+'FNCINVLIQ_prospetto riassuntivo'!$B$29&gt;J60,J60+1,0))</f>
        <v>71</v>
      </c>
      <c r="K61" s="44">
        <f>O60*'FNCINVLIQ_prospetto riassuntivo'!$B$31*Q61</f>
        <v>87.573805381315069</v>
      </c>
      <c r="L61" s="44">
        <f t="shared" si="4"/>
        <v>1575.0386690292698</v>
      </c>
      <c r="M61" s="44">
        <f t="shared" si="5"/>
        <v>1662.6124744105848</v>
      </c>
      <c r="N61" s="45">
        <f t="shared" si="6"/>
        <v>87539.612085998029</v>
      </c>
      <c r="O61" s="44">
        <f>('FNCINVLIQ_prospetto riassuntivo'!$B$16-N61)*Q61</f>
        <v>40460.387914001971</v>
      </c>
      <c r="P61" s="44">
        <f>K61/(1+SUM('FNCINVLIQ_prospetto riassuntivo'!$B$32:$B$33)/'FNCINVLIQ_prospetto riassuntivo'!$B$27)^J61</f>
        <v>72.443757376708646</v>
      </c>
      <c r="Q61">
        <f>IF(J61=0,0,IF(OR(J61&lt;'FNCINVLIQ_prospetto riassuntivo'!$B$26+'FNCINVLIQ_prospetto riassuntivo'!$B$29,J61='FNCINVLIQ_prospetto riassuntivo'!$B$26+'FNCINVLIQ_prospetto riassuntivo'!$B$29),1,0))</f>
        <v>1</v>
      </c>
    </row>
    <row r="62" spans="10:17" x14ac:dyDescent="0.25">
      <c r="J62" s="43">
        <f>IF(J61=0,0,IF('FNCINVLIQ_prospetto riassuntivo'!$B$26+'FNCINVLIQ_prospetto riassuntivo'!$B$29&gt;J61,J61+1,0))</f>
        <v>72</v>
      </c>
      <c r="K62" s="44">
        <f>O61*'FNCINVLIQ_prospetto riassuntivo'!$B$31*Q62</f>
        <v>84.292474820837441</v>
      </c>
      <c r="L62" s="44">
        <f t="shared" si="4"/>
        <v>1578.3199995897473</v>
      </c>
      <c r="M62" s="44">
        <f t="shared" si="5"/>
        <v>1662.6124744105848</v>
      </c>
      <c r="N62" s="45">
        <f t="shared" si="6"/>
        <v>89117.932085587774</v>
      </c>
      <c r="O62" s="44">
        <f>('FNCINVLIQ_prospetto riassuntivo'!$B$16-N62)*Q62</f>
        <v>38882.067914412226</v>
      </c>
      <c r="P62" s="44">
        <f>K62/(1+SUM('FNCINVLIQ_prospetto riassuntivo'!$B$32:$B$33)/'FNCINVLIQ_prospetto riassuntivo'!$B$27)^J62</f>
        <v>69.543311004464826</v>
      </c>
      <c r="Q62">
        <f>IF(J62=0,0,IF(OR(J62&lt;'FNCINVLIQ_prospetto riassuntivo'!$B$26+'FNCINVLIQ_prospetto riassuntivo'!$B$29,J62='FNCINVLIQ_prospetto riassuntivo'!$B$26+'FNCINVLIQ_prospetto riassuntivo'!$B$29),1,0))</f>
        <v>1</v>
      </c>
    </row>
    <row r="63" spans="10:17" x14ac:dyDescent="0.25">
      <c r="J63" s="43">
        <f>IF(J62=0,0,IF('FNCINVLIQ_prospetto riassuntivo'!$B$26+'FNCINVLIQ_prospetto riassuntivo'!$B$29&gt;J62,J62+1,0))</f>
        <v>73</v>
      </c>
      <c r="K63" s="44">
        <f>O62*'FNCINVLIQ_prospetto riassuntivo'!$B$31*Q63</f>
        <v>81.00430815502547</v>
      </c>
      <c r="L63" s="44">
        <f t="shared" si="4"/>
        <v>1581.6081662555594</v>
      </c>
      <c r="M63" s="44">
        <f t="shared" si="5"/>
        <v>1662.6124744105848</v>
      </c>
      <c r="N63" s="45">
        <f t="shared" si="6"/>
        <v>90699.54025184334</v>
      </c>
      <c r="O63" s="44">
        <f>('FNCINVLIQ_prospetto riassuntivo'!$B$16-N63)*Q63</f>
        <v>37300.45974815666</v>
      </c>
      <c r="P63" s="44">
        <f>K63/(1+SUM('FNCINVLIQ_prospetto riassuntivo'!$B$32:$B$33)/'FNCINVLIQ_prospetto riassuntivo'!$B$27)^J63</f>
        <v>66.652200099879281</v>
      </c>
      <c r="Q63">
        <f>IF(J63=0,0,IF(OR(J63&lt;'FNCINVLIQ_prospetto riassuntivo'!$B$26+'FNCINVLIQ_prospetto riassuntivo'!$B$29,J63='FNCINVLIQ_prospetto riassuntivo'!$B$26+'FNCINVLIQ_prospetto riassuntivo'!$B$29),1,0))</f>
        <v>1</v>
      </c>
    </row>
    <row r="64" spans="10:17" x14ac:dyDescent="0.25">
      <c r="J64" s="43">
        <f>IF(J63=0,0,IF('FNCINVLIQ_prospetto riassuntivo'!$B$26+'FNCINVLIQ_prospetto riassuntivo'!$B$29&gt;J63,J63+1,0))</f>
        <v>74</v>
      </c>
      <c r="K64" s="44">
        <f>O63*'FNCINVLIQ_prospetto riassuntivo'!$B$31*Q64</f>
        <v>77.709291141993035</v>
      </c>
      <c r="L64" s="44">
        <f t="shared" si="4"/>
        <v>1584.9031832685919</v>
      </c>
      <c r="M64" s="44">
        <f t="shared" si="5"/>
        <v>1662.6124744105848</v>
      </c>
      <c r="N64" s="45">
        <f t="shared" si="6"/>
        <v>92284.443435111927</v>
      </c>
      <c r="O64" s="44">
        <f>('FNCINVLIQ_prospetto riassuntivo'!$B$16-N64)*Q64</f>
        <v>35715.556564888073</v>
      </c>
      <c r="P64" s="44">
        <f>K64/(1+SUM('FNCINVLIQ_prospetto riassuntivo'!$B$32:$B$33)/'FNCINVLIQ_prospetto riassuntivo'!$B$27)^J64</f>
        <v>63.770398814549146</v>
      </c>
      <c r="Q64">
        <f>IF(J64=0,0,IF(OR(J64&lt;'FNCINVLIQ_prospetto riassuntivo'!$B$26+'FNCINVLIQ_prospetto riassuntivo'!$B$29,J64='FNCINVLIQ_prospetto riassuntivo'!$B$26+'FNCINVLIQ_prospetto riassuntivo'!$B$29),1,0))</f>
        <v>1</v>
      </c>
    </row>
    <row r="65" spans="10:17" x14ac:dyDescent="0.25">
      <c r="J65" s="43">
        <f>IF(J64=0,0,IF('FNCINVLIQ_prospetto riassuntivo'!$B$26+'FNCINVLIQ_prospetto riassuntivo'!$B$29&gt;J64,J64+1,0))</f>
        <v>75</v>
      </c>
      <c r="K65" s="44">
        <f>O64*'FNCINVLIQ_prospetto riassuntivo'!$B$31*Q65</f>
        <v>74.407409510183484</v>
      </c>
      <c r="L65" s="44">
        <f t="shared" si="4"/>
        <v>1588.2050649004013</v>
      </c>
      <c r="M65" s="44">
        <f t="shared" si="5"/>
        <v>1662.6124744105848</v>
      </c>
      <c r="N65" s="45">
        <f t="shared" si="6"/>
        <v>93872.648500012321</v>
      </c>
      <c r="O65" s="44">
        <f>('FNCINVLIQ_prospetto riassuntivo'!$B$16-N65)*Q65</f>
        <v>34127.351499987679</v>
      </c>
      <c r="P65" s="44">
        <f>K65/(1+SUM('FNCINVLIQ_prospetto riassuntivo'!$B$32:$B$33)/'FNCINVLIQ_prospetto riassuntivo'!$B$27)^J65</f>
        <v>60.897881369587815</v>
      </c>
      <c r="Q65">
        <f>IF(J65=0,0,IF(OR(J65&lt;'FNCINVLIQ_prospetto riassuntivo'!$B$26+'FNCINVLIQ_prospetto riassuntivo'!$B$29,J65='FNCINVLIQ_prospetto riassuntivo'!$B$26+'FNCINVLIQ_prospetto riassuntivo'!$B$29),1,0))</f>
        <v>1</v>
      </c>
    </row>
    <row r="66" spans="10:17" x14ac:dyDescent="0.25">
      <c r="J66" s="43">
        <f>IF(J65=0,0,IF('FNCINVLIQ_prospetto riassuntivo'!$B$26+'FNCINVLIQ_prospetto riassuntivo'!$B$29&gt;J65,J65+1,0))</f>
        <v>76</v>
      </c>
      <c r="K66" s="44">
        <f>O65*'FNCINVLIQ_prospetto riassuntivo'!$B$31*Q66</f>
        <v>71.098648958307663</v>
      </c>
      <c r="L66" s="44">
        <f t="shared" si="4"/>
        <v>1591.5138254522772</v>
      </c>
      <c r="M66" s="44">
        <f t="shared" si="5"/>
        <v>1662.6124744105848</v>
      </c>
      <c r="N66" s="45">
        <f t="shared" si="6"/>
        <v>95464.162325464597</v>
      </c>
      <c r="O66" s="44">
        <f>('FNCINVLIQ_prospetto riassuntivo'!$B$16-N66)*Q66</f>
        <v>32535.837674535403</v>
      </c>
      <c r="P66" s="44">
        <f>K66/(1+SUM('FNCINVLIQ_prospetto riassuntivo'!$B$32:$B$33)/'FNCINVLIQ_prospetto riassuntivo'!$B$27)^J66</f>
        <v>58.034622055439129</v>
      </c>
      <c r="Q66">
        <f>IF(J66=0,0,IF(OR(J66&lt;'FNCINVLIQ_prospetto riassuntivo'!$B$26+'FNCINVLIQ_prospetto riassuntivo'!$B$29,J66='FNCINVLIQ_prospetto riassuntivo'!$B$26+'FNCINVLIQ_prospetto riassuntivo'!$B$29),1,0))</f>
        <v>1</v>
      </c>
    </row>
    <row r="67" spans="10:17" x14ac:dyDescent="0.25">
      <c r="J67" s="43">
        <f>IF(J66=0,0,IF('FNCINVLIQ_prospetto riassuntivo'!$B$26+'FNCINVLIQ_prospetto riassuntivo'!$B$29&gt;J66,J66+1,0))</f>
        <v>77</v>
      </c>
      <c r="K67" s="44">
        <f>O66*'FNCINVLIQ_prospetto riassuntivo'!$B$31*Q67</f>
        <v>67.782995155282094</v>
      </c>
      <c r="L67" s="44">
        <f t="shared" ref="L67:L98" si="7">M67-K67</f>
        <v>1594.8294792553027</v>
      </c>
      <c r="M67" s="44">
        <f t="shared" si="5"/>
        <v>1662.6124744105848</v>
      </c>
      <c r="N67" s="45">
        <f t="shared" si="6"/>
        <v>97058.991804719903</v>
      </c>
      <c r="O67" s="44">
        <f>('FNCINVLIQ_prospetto riassuntivo'!$B$16-N67)*Q67</f>
        <v>30941.008195280097</v>
      </c>
      <c r="P67" s="44">
        <f>K67/(1+SUM('FNCINVLIQ_prospetto riassuntivo'!$B$32:$B$33)/'FNCINVLIQ_prospetto riassuntivo'!$B$27)^J67</f>
        <v>55.180595231692074</v>
      </c>
      <c r="Q67">
        <f>IF(J67=0,0,IF(OR(J67&lt;'FNCINVLIQ_prospetto riassuntivo'!$B$26+'FNCINVLIQ_prospetto riassuntivo'!$B$29,J67='FNCINVLIQ_prospetto riassuntivo'!$B$26+'FNCINVLIQ_prospetto riassuntivo'!$B$29),1,0))</f>
        <v>1</v>
      </c>
    </row>
    <row r="68" spans="10:17" x14ac:dyDescent="0.25">
      <c r="J68" s="43">
        <f>IF(J67=0,0,IF('FNCINVLIQ_prospetto riassuntivo'!$B$26+'FNCINVLIQ_prospetto riassuntivo'!$B$29&gt;J67,J67+1,0))</f>
        <v>78</v>
      </c>
      <c r="K68" s="44">
        <f>O67*'FNCINVLIQ_prospetto riassuntivo'!$B$31*Q68</f>
        <v>64.460433740166863</v>
      </c>
      <c r="L68" s="44">
        <f t="shared" si="7"/>
        <v>1598.152040670418</v>
      </c>
      <c r="M68" s="44">
        <f t="shared" ref="M68:M98" si="8">$M$3*Q68</f>
        <v>1662.6124744105848</v>
      </c>
      <c r="N68" s="45">
        <f t="shared" ref="N68:N98" si="9">(L68+N67)*Q68</f>
        <v>98657.143845390325</v>
      </c>
      <c r="O68" s="44">
        <f>('FNCINVLIQ_prospetto riassuntivo'!$B$16-N68)*Q68</f>
        <v>29342.856154609675</v>
      </c>
      <c r="P68" s="44">
        <f>K68/(1+SUM('FNCINVLIQ_prospetto riassuntivo'!$B$32:$B$33)/'FNCINVLIQ_prospetto riassuntivo'!$B$27)^J68</f>
        <v>52.335775326896048</v>
      </c>
      <c r="Q68">
        <f>IF(J68=0,0,IF(OR(J68&lt;'FNCINVLIQ_prospetto riassuntivo'!$B$26+'FNCINVLIQ_prospetto riassuntivo'!$B$29,J68='FNCINVLIQ_prospetto riassuntivo'!$B$26+'FNCINVLIQ_prospetto riassuntivo'!$B$29),1,0))</f>
        <v>1</v>
      </c>
    </row>
    <row r="69" spans="10:17" x14ac:dyDescent="0.25">
      <c r="J69" s="43">
        <f>IF(J68=0,0,IF('FNCINVLIQ_prospetto riassuntivo'!$B$26+'FNCINVLIQ_prospetto riassuntivo'!$B$29&gt;J68,J68+1,0))</f>
        <v>79</v>
      </c>
      <c r="K69" s="44">
        <f>O68*'FNCINVLIQ_prospetto riassuntivo'!$B$31*Q69</f>
        <v>61.130950322103487</v>
      </c>
      <c r="L69" s="44">
        <f t="shared" si="7"/>
        <v>1601.4815240884814</v>
      </c>
      <c r="M69" s="44">
        <f t="shared" si="8"/>
        <v>1662.6124744105848</v>
      </c>
      <c r="N69" s="45">
        <f t="shared" si="9"/>
        <v>100258.6253694788</v>
      </c>
      <c r="O69" s="44">
        <f>('FNCINVLIQ_prospetto riassuntivo'!$B$16-N69)*Q69</f>
        <v>27741.374630521197</v>
      </c>
      <c r="P69" s="44">
        <f>K69/(1+SUM('FNCINVLIQ_prospetto riassuntivo'!$B$32:$B$33)/'FNCINVLIQ_prospetto riassuntivo'!$B$27)^J69</f>
        <v>49.500136838376534</v>
      </c>
      <c r="Q69">
        <f>IF(J69=0,0,IF(OR(J69&lt;'FNCINVLIQ_prospetto riassuntivo'!$B$26+'FNCINVLIQ_prospetto riassuntivo'!$B$29,J69='FNCINVLIQ_prospetto riassuntivo'!$B$26+'FNCINVLIQ_prospetto riassuntivo'!$B$29),1,0))</f>
        <v>1</v>
      </c>
    </row>
    <row r="70" spans="10:17" x14ac:dyDescent="0.25">
      <c r="J70" s="43">
        <f>IF(J69=0,0,IF('FNCINVLIQ_prospetto riassuntivo'!$B$26+'FNCINVLIQ_prospetto riassuntivo'!$B$29&gt;J69,J69+1,0))</f>
        <v>80</v>
      </c>
      <c r="K70" s="44">
        <f>O69*'FNCINVLIQ_prospetto riassuntivo'!$B$31*Q70</f>
        <v>57.79453048025249</v>
      </c>
      <c r="L70" s="44">
        <f t="shared" si="7"/>
        <v>1604.8179439303324</v>
      </c>
      <c r="M70" s="44">
        <f t="shared" si="8"/>
        <v>1662.6124744105848</v>
      </c>
      <c r="N70" s="45">
        <f t="shared" si="9"/>
        <v>101863.44331340914</v>
      </c>
      <c r="O70" s="44">
        <f>('FNCINVLIQ_prospetto riassuntivo'!$B$16-N70)*Q70</f>
        <v>26136.556686590862</v>
      </c>
      <c r="P70" s="44">
        <f>K70/(1+SUM('FNCINVLIQ_prospetto riassuntivo'!$B$32:$B$33)/'FNCINVLIQ_prospetto riassuntivo'!$B$27)^J70</f>
        <v>46.673654332051264</v>
      </c>
      <c r="Q70">
        <f>IF(J70=0,0,IF(OR(J70&lt;'FNCINVLIQ_prospetto riassuntivo'!$B$26+'FNCINVLIQ_prospetto riassuntivo'!$B$29,J70='FNCINVLIQ_prospetto riassuntivo'!$B$26+'FNCINVLIQ_prospetto riassuntivo'!$B$29),1,0))</f>
        <v>1</v>
      </c>
    </row>
    <row r="71" spans="10:17" x14ac:dyDescent="0.25">
      <c r="J71" s="43">
        <f>IF(J70=0,0,IF('FNCINVLIQ_prospetto riassuntivo'!$B$26+'FNCINVLIQ_prospetto riassuntivo'!$B$29&gt;J70,J70+1,0))</f>
        <v>81</v>
      </c>
      <c r="K71" s="44">
        <f>O70*'FNCINVLIQ_prospetto riassuntivo'!$B$31*Q71</f>
        <v>54.451159763730963</v>
      </c>
      <c r="L71" s="44">
        <f t="shared" si="7"/>
        <v>1608.161314646854</v>
      </c>
      <c r="M71" s="44">
        <f t="shared" si="8"/>
        <v>1662.6124744105848</v>
      </c>
      <c r="N71" s="45">
        <f t="shared" si="9"/>
        <v>103471.604628056</v>
      </c>
      <c r="O71" s="44">
        <f>('FNCINVLIQ_prospetto riassuntivo'!$B$16-N71)*Q71</f>
        <v>24528.395371944003</v>
      </c>
      <c r="P71" s="44">
        <f>K71/(1+SUM('FNCINVLIQ_prospetto riassuntivo'!$B$32:$B$33)/'FNCINVLIQ_prospetto riassuntivo'!$B$27)^J71</f>
        <v>43.856302442246893</v>
      </c>
      <c r="Q71">
        <f>IF(J71=0,0,IF(OR(J71&lt;'FNCINVLIQ_prospetto riassuntivo'!$B$26+'FNCINVLIQ_prospetto riassuntivo'!$B$29,J71='FNCINVLIQ_prospetto riassuntivo'!$B$26+'FNCINVLIQ_prospetto riassuntivo'!$B$29),1,0))</f>
        <v>1</v>
      </c>
    </row>
    <row r="72" spans="10:17" x14ac:dyDescent="0.25">
      <c r="J72" s="43">
        <f>IF(J71=0,0,IF('FNCINVLIQ_prospetto riassuntivo'!$B$26+'FNCINVLIQ_prospetto riassuntivo'!$B$29&gt;J71,J71+1,0))</f>
        <v>82</v>
      </c>
      <c r="K72" s="44">
        <f>O71*'FNCINVLIQ_prospetto riassuntivo'!$B$31*Q72</f>
        <v>51.100823691550005</v>
      </c>
      <c r="L72" s="44">
        <f t="shared" si="7"/>
        <v>1611.5116507190348</v>
      </c>
      <c r="M72" s="44">
        <f t="shared" si="8"/>
        <v>1662.6124744105848</v>
      </c>
      <c r="N72" s="45">
        <f t="shared" si="9"/>
        <v>105083.11627877504</v>
      </c>
      <c r="O72" s="44">
        <f>('FNCINVLIQ_prospetto riassuntivo'!$B$16-N72)*Q72</f>
        <v>22916.883721224964</v>
      </c>
      <c r="P72" s="44">
        <f>K72/(1+SUM('FNCINVLIQ_prospetto riassuntivo'!$B$32:$B$33)/'FNCINVLIQ_prospetto riassuntivo'!$B$27)^J72</f>
        <v>41.048055871516176</v>
      </c>
      <c r="Q72">
        <f>IF(J72=0,0,IF(OR(J72&lt;'FNCINVLIQ_prospetto riassuntivo'!$B$26+'FNCINVLIQ_prospetto riassuntivo'!$B$29,J72='FNCINVLIQ_prospetto riassuntivo'!$B$26+'FNCINVLIQ_prospetto riassuntivo'!$B$29),1,0))</f>
        <v>1</v>
      </c>
    </row>
    <row r="73" spans="10:17" x14ac:dyDescent="0.25">
      <c r="J73" s="43">
        <f>IF(J72=0,0,IF('FNCINVLIQ_prospetto riassuntivo'!$B$26+'FNCINVLIQ_prospetto riassuntivo'!$B$29&gt;J72,J72+1,0))</f>
        <v>83</v>
      </c>
      <c r="K73" s="44">
        <f>O72*'FNCINVLIQ_prospetto riassuntivo'!$B$31*Q73</f>
        <v>47.743507752552006</v>
      </c>
      <c r="L73" s="44">
        <f t="shared" si="7"/>
        <v>1614.8689666580328</v>
      </c>
      <c r="M73" s="44">
        <f t="shared" si="8"/>
        <v>1662.6124744105848</v>
      </c>
      <c r="N73" s="45">
        <f t="shared" si="9"/>
        <v>106697.98524543307</v>
      </c>
      <c r="O73" s="44">
        <f>('FNCINVLIQ_prospetto riassuntivo'!$B$16-N73)*Q73</f>
        <v>21302.014754566932</v>
      </c>
      <c r="P73" s="44">
        <f>K73/(1+SUM('FNCINVLIQ_prospetto riassuntivo'!$B$32:$B$33)/'FNCINVLIQ_prospetto riassuntivo'!$B$27)^J73</f>
        <v>38.248889390455666</v>
      </c>
      <c r="Q73">
        <f>IF(J73=0,0,IF(OR(J73&lt;'FNCINVLIQ_prospetto riassuntivo'!$B$26+'FNCINVLIQ_prospetto riassuntivo'!$B$29,J73='FNCINVLIQ_prospetto riassuntivo'!$B$26+'FNCINVLIQ_prospetto riassuntivo'!$B$29),1,0))</f>
        <v>1</v>
      </c>
    </row>
    <row r="74" spans="10:17" x14ac:dyDescent="0.25">
      <c r="J74" s="43">
        <f>IF(J73=0,0,IF('FNCINVLIQ_prospetto riassuntivo'!$B$26+'FNCINVLIQ_prospetto riassuntivo'!$B$29&gt;J73,J73+1,0))</f>
        <v>84</v>
      </c>
      <c r="K74" s="44">
        <f>O73*'FNCINVLIQ_prospetto riassuntivo'!$B$31*Q74</f>
        <v>44.379197405347774</v>
      </c>
      <c r="L74" s="44">
        <f t="shared" si="7"/>
        <v>1618.2332770052371</v>
      </c>
      <c r="M74" s="44">
        <f t="shared" si="8"/>
        <v>1662.6124744105848</v>
      </c>
      <c r="N74" s="45">
        <f t="shared" si="9"/>
        <v>108316.2185224383</v>
      </c>
      <c r="O74" s="44">
        <f>('FNCINVLIQ_prospetto riassuntivo'!$B$16-N74)*Q74</f>
        <v>19683.781477561701</v>
      </c>
      <c r="P74" s="44">
        <f>K74/(1+SUM('FNCINVLIQ_prospetto riassuntivo'!$B$32:$B$33)/'FNCINVLIQ_prospetto riassuntivo'!$B$27)^J74</f>
        <v>35.458777837523819</v>
      </c>
      <c r="Q74">
        <f>IF(J74=0,0,IF(OR(J74&lt;'FNCINVLIQ_prospetto riassuntivo'!$B$26+'FNCINVLIQ_prospetto riassuntivo'!$B$29,J74='FNCINVLIQ_prospetto riassuntivo'!$B$26+'FNCINVLIQ_prospetto riassuntivo'!$B$29),1,0))</f>
        <v>1</v>
      </c>
    </row>
    <row r="75" spans="10:17" x14ac:dyDescent="0.25">
      <c r="J75" s="43">
        <f>IF(J74=0,0,IF('FNCINVLIQ_prospetto riassuntivo'!$B$26+'FNCINVLIQ_prospetto riassuntivo'!$B$29&gt;J74,J74+1,0))</f>
        <v>85</v>
      </c>
      <c r="K75" s="44">
        <f>O74*'FNCINVLIQ_prospetto riassuntivo'!$B$31*Q75</f>
        <v>41.00787807825354</v>
      </c>
      <c r="L75" s="44">
        <f t="shared" si="7"/>
        <v>1621.6045963323313</v>
      </c>
      <c r="M75" s="44">
        <f t="shared" si="8"/>
        <v>1662.6124744105848</v>
      </c>
      <c r="N75" s="45">
        <f t="shared" si="9"/>
        <v>109937.82311877063</v>
      </c>
      <c r="O75" s="44">
        <f>('FNCINVLIQ_prospetto riassuntivo'!$B$16-N75)*Q75</f>
        <v>18062.176881229374</v>
      </c>
      <c r="P75" s="44">
        <f>K75/(1+SUM('FNCINVLIQ_prospetto riassuntivo'!$B$32:$B$33)/'FNCINVLIQ_prospetto riassuntivo'!$B$27)^J75</f>
        <v>32.677696118859593</v>
      </c>
      <c r="Q75">
        <f>IF(J75=0,0,IF(OR(J75&lt;'FNCINVLIQ_prospetto riassuntivo'!$B$26+'FNCINVLIQ_prospetto riassuntivo'!$B$29,J75='FNCINVLIQ_prospetto riassuntivo'!$B$26+'FNCINVLIQ_prospetto riassuntivo'!$B$29),1,0))</f>
        <v>1</v>
      </c>
    </row>
    <row r="76" spans="10:17" x14ac:dyDescent="0.25">
      <c r="J76" s="43">
        <f>IF(J75=0,0,IF('FNCINVLIQ_prospetto riassuntivo'!$B$26+'FNCINVLIQ_prospetto riassuntivo'!$B$29&gt;J75,J75+1,0))</f>
        <v>86</v>
      </c>
      <c r="K76" s="44">
        <f>O75*'FNCINVLIQ_prospetto riassuntivo'!$B$31*Q76</f>
        <v>37.629535169227864</v>
      </c>
      <c r="L76" s="44">
        <f t="shared" si="7"/>
        <v>1624.9829392413569</v>
      </c>
      <c r="M76" s="44">
        <f t="shared" si="8"/>
        <v>1662.6124744105848</v>
      </c>
      <c r="N76" s="45">
        <f t="shared" si="9"/>
        <v>111562.80605801198</v>
      </c>
      <c r="O76" s="44">
        <f>('FNCINVLIQ_prospetto riassuntivo'!$B$16-N76)*Q76</f>
        <v>16437.193941988022</v>
      </c>
      <c r="P76" s="44">
        <f>K76/(1+SUM('FNCINVLIQ_prospetto riassuntivo'!$B$32:$B$33)/'FNCINVLIQ_prospetto riassuntivo'!$B$27)^J76</f>
        <v>29.90561920810158</v>
      </c>
      <c r="Q76">
        <f>IF(J76=0,0,IF(OR(J76&lt;'FNCINVLIQ_prospetto riassuntivo'!$B$26+'FNCINVLIQ_prospetto riassuntivo'!$B$29,J76='FNCINVLIQ_prospetto riassuntivo'!$B$26+'FNCINVLIQ_prospetto riassuntivo'!$B$29),1,0))</f>
        <v>1</v>
      </c>
    </row>
    <row r="77" spans="10:17" x14ac:dyDescent="0.25">
      <c r="J77" s="43">
        <f>IF(J76=0,0,IF('FNCINVLIQ_prospetto riassuntivo'!$B$26+'FNCINVLIQ_prospetto riassuntivo'!$B$29&gt;J76,J76+1,0))</f>
        <v>87</v>
      </c>
      <c r="K77" s="44">
        <f>O76*'FNCINVLIQ_prospetto riassuntivo'!$B$31*Q77</f>
        <v>34.244154045808379</v>
      </c>
      <c r="L77" s="44">
        <f t="shared" si="7"/>
        <v>1628.3683203647765</v>
      </c>
      <c r="M77" s="44">
        <f t="shared" si="8"/>
        <v>1662.6124744105848</v>
      </c>
      <c r="N77" s="45">
        <f t="shared" si="9"/>
        <v>113191.17437837676</v>
      </c>
      <c r="O77" s="44">
        <f>('FNCINVLIQ_prospetto riassuntivo'!$B$16-N77)*Q77</f>
        <v>14808.82562162324</v>
      </c>
      <c r="P77" s="44">
        <f>K77/(1+SUM('FNCINVLIQ_prospetto riassuntivo'!$B$32:$B$33)/'FNCINVLIQ_prospetto riassuntivo'!$B$27)^J77</f>
        <v>27.142522146207636</v>
      </c>
      <c r="Q77">
        <f>IF(J77=0,0,IF(OR(J77&lt;'FNCINVLIQ_prospetto riassuntivo'!$B$26+'FNCINVLIQ_prospetto riassuntivo'!$B$29,J77='FNCINVLIQ_prospetto riassuntivo'!$B$26+'FNCINVLIQ_prospetto riassuntivo'!$B$29),1,0))</f>
        <v>1</v>
      </c>
    </row>
    <row r="78" spans="10:17" x14ac:dyDescent="0.25">
      <c r="J78" s="43">
        <f>IF(J77=0,0,IF('FNCINVLIQ_prospetto riassuntivo'!$B$26+'FNCINVLIQ_prospetto riassuntivo'!$B$29&gt;J77,J77+1,0))</f>
        <v>88</v>
      </c>
      <c r="K78" s="44">
        <f>O77*'FNCINVLIQ_prospetto riassuntivo'!$B$31*Q78</f>
        <v>30.851720045048417</v>
      </c>
      <c r="L78" s="44">
        <f t="shared" si="7"/>
        <v>1631.7607543655363</v>
      </c>
      <c r="M78" s="44">
        <f t="shared" si="8"/>
        <v>1662.6124744105848</v>
      </c>
      <c r="N78" s="45">
        <f t="shared" si="9"/>
        <v>114822.93513274229</v>
      </c>
      <c r="O78" s="44">
        <f>('FNCINVLIQ_prospetto riassuntivo'!$B$16-N78)*Q78</f>
        <v>13177.064867257708</v>
      </c>
      <c r="P78" s="44">
        <f>K78/(1+SUM('FNCINVLIQ_prospetto riassuntivo'!$B$32:$B$33)/'FNCINVLIQ_prospetto riassuntivo'!$B$27)^J78</f>
        <v>24.3883800412749</v>
      </c>
      <c r="Q78">
        <f>IF(J78=0,0,IF(OR(J78&lt;'FNCINVLIQ_prospetto riassuntivo'!$B$26+'FNCINVLIQ_prospetto riassuntivo'!$B$29,J78='FNCINVLIQ_prospetto riassuntivo'!$B$26+'FNCINVLIQ_prospetto riassuntivo'!$B$29),1,0))</f>
        <v>1</v>
      </c>
    </row>
    <row r="79" spans="10:17" x14ac:dyDescent="0.25">
      <c r="J79" s="43">
        <f>IF(J78=0,0,IF('FNCINVLIQ_prospetto riassuntivo'!$B$26+'FNCINVLIQ_prospetto riassuntivo'!$B$29&gt;J78,J78+1,0))</f>
        <v>89</v>
      </c>
      <c r="K79" s="44">
        <f>O78*'FNCINVLIQ_prospetto riassuntivo'!$B$31*Q79</f>
        <v>27.452218473453559</v>
      </c>
      <c r="L79" s="44">
        <f t="shared" si="7"/>
        <v>1635.1602559371313</v>
      </c>
      <c r="M79" s="44">
        <f t="shared" si="8"/>
        <v>1662.6124744105848</v>
      </c>
      <c r="N79" s="45">
        <f t="shared" si="9"/>
        <v>116458.09538867942</v>
      </c>
      <c r="O79" s="44">
        <f>('FNCINVLIQ_prospetto riassuntivo'!$B$16-N79)*Q79</f>
        <v>11541.904611320584</v>
      </c>
      <c r="P79" s="44">
        <f>K79/(1+SUM('FNCINVLIQ_prospetto riassuntivo'!$B$32:$B$33)/'FNCINVLIQ_prospetto riassuntivo'!$B$27)^J79</f>
        <v>21.643168068360424</v>
      </c>
      <c r="Q79">
        <f>IF(J79=0,0,IF(OR(J79&lt;'FNCINVLIQ_prospetto riassuntivo'!$B$26+'FNCINVLIQ_prospetto riassuntivo'!$B$29,J79='FNCINVLIQ_prospetto riassuntivo'!$B$26+'FNCINVLIQ_prospetto riassuntivo'!$B$29),1,0))</f>
        <v>1</v>
      </c>
    </row>
    <row r="80" spans="10:17" x14ac:dyDescent="0.25">
      <c r="J80" s="43">
        <f>IF(J79=0,0,IF('FNCINVLIQ_prospetto riassuntivo'!$B$26+'FNCINVLIQ_prospetto riassuntivo'!$B$29&gt;J79,J79+1,0))</f>
        <v>90</v>
      </c>
      <c r="K80" s="44">
        <f>O79*'FNCINVLIQ_prospetto riassuntivo'!$B$31*Q80</f>
        <v>24.045634606917883</v>
      </c>
      <c r="L80" s="44">
        <f t="shared" si="7"/>
        <v>1638.5668398036669</v>
      </c>
      <c r="M80" s="44">
        <f t="shared" si="8"/>
        <v>1662.6124744105848</v>
      </c>
      <c r="N80" s="45">
        <f t="shared" si="9"/>
        <v>118096.66222848308</v>
      </c>
      <c r="O80" s="44">
        <f>('FNCINVLIQ_prospetto riassuntivo'!$B$16-N80)*Q80</f>
        <v>9903.337771516919</v>
      </c>
      <c r="P80" s="44">
        <f>K80/(1+SUM('FNCINVLIQ_prospetto riassuntivo'!$B$32:$B$33)/'FNCINVLIQ_prospetto riassuntivo'!$B$27)^J80</f>
        <v>18.906861469302125</v>
      </c>
      <c r="Q80">
        <f>IF(J80=0,0,IF(OR(J80&lt;'FNCINVLIQ_prospetto riassuntivo'!$B$26+'FNCINVLIQ_prospetto riassuntivo'!$B$29,J80='FNCINVLIQ_prospetto riassuntivo'!$B$26+'FNCINVLIQ_prospetto riassuntivo'!$B$29),1,0))</f>
        <v>1</v>
      </c>
    </row>
    <row r="81" spans="10:17" x14ac:dyDescent="0.25">
      <c r="J81" s="43">
        <f>IF(J80=0,0,IF('FNCINVLIQ_prospetto riassuntivo'!$B$26+'FNCINVLIQ_prospetto riassuntivo'!$B$29&gt;J80,J80+1,0))</f>
        <v>91</v>
      </c>
      <c r="K81" s="44">
        <f>O80*'FNCINVLIQ_prospetto riassuntivo'!$B$31*Q81</f>
        <v>20.631953690660247</v>
      </c>
      <c r="L81" s="44">
        <f t="shared" si="7"/>
        <v>1641.9805207199245</v>
      </c>
      <c r="M81" s="44">
        <f t="shared" si="8"/>
        <v>1662.6124744105848</v>
      </c>
      <c r="N81" s="45">
        <f t="shared" si="9"/>
        <v>119738.64274920301</v>
      </c>
      <c r="O81" s="44">
        <f>('FNCINVLIQ_prospetto riassuntivo'!$B$16-N81)*Q81</f>
        <v>8261.3572507969948</v>
      </c>
      <c r="P81" s="44">
        <f>K81/(1+SUM('FNCINVLIQ_prospetto riassuntivo'!$B$32:$B$33)/'FNCINVLIQ_prospetto riassuntivo'!$B$27)^J81</f>
        <v>16.179435552540319</v>
      </c>
      <c r="Q81">
        <f>IF(J81=0,0,IF(OR(J81&lt;'FNCINVLIQ_prospetto riassuntivo'!$B$26+'FNCINVLIQ_prospetto riassuntivo'!$B$29,J81='FNCINVLIQ_prospetto riassuntivo'!$B$26+'FNCINVLIQ_prospetto riassuntivo'!$B$29),1,0))</f>
        <v>1</v>
      </c>
    </row>
    <row r="82" spans="10:17" x14ac:dyDescent="0.25">
      <c r="J82" s="43">
        <f>IF(J81=0,0,IF('FNCINVLIQ_prospetto riassuntivo'!$B$26+'FNCINVLIQ_prospetto riassuntivo'!$B$29&gt;J81,J81+1,0))</f>
        <v>92</v>
      </c>
      <c r="K82" s="44">
        <f>O81*'FNCINVLIQ_prospetto riassuntivo'!$B$31*Q82</f>
        <v>17.211160939160404</v>
      </c>
      <c r="L82" s="44">
        <f t="shared" si="7"/>
        <v>1645.4013134714244</v>
      </c>
      <c r="M82" s="44">
        <f t="shared" si="8"/>
        <v>1662.6124744105848</v>
      </c>
      <c r="N82" s="45">
        <f t="shared" si="9"/>
        <v>121384.04406267442</v>
      </c>
      <c r="O82" s="44">
        <f>('FNCINVLIQ_prospetto riassuntivo'!$B$16-N82)*Q82</f>
        <v>6615.9559373255761</v>
      </c>
      <c r="P82" s="44">
        <f>K82/(1+SUM('FNCINVLIQ_prospetto riassuntivo'!$B$32:$B$33)/'FNCINVLIQ_prospetto riassuntivo'!$B$27)^J82</f>
        <v>13.460865692939764</v>
      </c>
      <c r="Q82">
        <f>IF(J82=0,0,IF(OR(J82&lt;'FNCINVLIQ_prospetto riassuntivo'!$B$26+'FNCINVLIQ_prospetto riassuntivo'!$B$29,J82='FNCINVLIQ_prospetto riassuntivo'!$B$26+'FNCINVLIQ_prospetto riassuntivo'!$B$29),1,0))</f>
        <v>1</v>
      </c>
    </row>
    <row r="83" spans="10:17" x14ac:dyDescent="0.25">
      <c r="J83" s="43">
        <f>IF(J82=0,0,IF('FNCINVLIQ_prospetto riassuntivo'!$B$26+'FNCINVLIQ_prospetto riassuntivo'!$B$29&gt;J82,J82+1,0))</f>
        <v>93</v>
      </c>
      <c r="K83" s="44">
        <f>O82*'FNCINVLIQ_prospetto riassuntivo'!$B$31*Q83</f>
        <v>13.78324153609495</v>
      </c>
      <c r="L83" s="44">
        <f t="shared" si="7"/>
        <v>1648.8292328744899</v>
      </c>
      <c r="M83" s="44">
        <f t="shared" si="8"/>
        <v>1662.6124744105848</v>
      </c>
      <c r="N83" s="45">
        <f t="shared" si="9"/>
        <v>123032.87329554891</v>
      </c>
      <c r="O83" s="44">
        <f>('FNCINVLIQ_prospetto riassuntivo'!$B$16-N83)*Q83</f>
        <v>4967.1267044510896</v>
      </c>
      <c r="P83" s="44">
        <f>K83/(1+SUM('FNCINVLIQ_prospetto riassuntivo'!$B$32:$B$33)/'FNCINVLIQ_prospetto riassuntivo'!$B$27)^J83</f>
        <v>10.751127331612079</v>
      </c>
      <c r="Q83">
        <f>IF(J83=0,0,IF(OR(J83&lt;'FNCINVLIQ_prospetto riassuntivo'!$B$26+'FNCINVLIQ_prospetto riassuntivo'!$B$29,J83='FNCINVLIQ_prospetto riassuntivo'!$B$26+'FNCINVLIQ_prospetto riassuntivo'!$B$29),1,0))</f>
        <v>1</v>
      </c>
    </row>
    <row r="84" spans="10:17" x14ac:dyDescent="0.25">
      <c r="J84" s="43">
        <f>IF(J83=0,0,IF('FNCINVLIQ_prospetto riassuntivo'!$B$26+'FNCINVLIQ_prospetto riassuntivo'!$B$29&gt;J83,J83+1,0))</f>
        <v>94</v>
      </c>
      <c r="K84" s="44">
        <f>O83*'FNCINVLIQ_prospetto riassuntivo'!$B$31*Q84</f>
        <v>10.348180634273103</v>
      </c>
      <c r="L84" s="44">
        <f t="shared" si="7"/>
        <v>1652.2642937763117</v>
      </c>
      <c r="M84" s="44">
        <f t="shared" si="8"/>
        <v>1662.6124744105848</v>
      </c>
      <c r="N84" s="45">
        <f t="shared" si="9"/>
        <v>124685.13758932523</v>
      </c>
      <c r="O84" s="44">
        <f>('FNCINVLIQ_prospetto riassuntivo'!$B$16-N84)*Q84</f>
        <v>3314.8624106747739</v>
      </c>
      <c r="P84" s="44">
        <f>K84/(1+SUM('FNCINVLIQ_prospetto riassuntivo'!$B$32:$B$33)/'FNCINVLIQ_prospetto riassuntivo'!$B$27)^J84</f>
        <v>8.0501959757386548</v>
      </c>
      <c r="Q84">
        <f>IF(J84=0,0,IF(OR(J84&lt;'FNCINVLIQ_prospetto riassuntivo'!$B$26+'FNCINVLIQ_prospetto riassuntivo'!$B$29,J84='FNCINVLIQ_prospetto riassuntivo'!$B$26+'FNCINVLIQ_prospetto riassuntivo'!$B$29),1,0))</f>
        <v>1</v>
      </c>
    </row>
    <row r="85" spans="10:17" x14ac:dyDescent="0.25">
      <c r="J85" s="43">
        <f>IF(J84=0,0,IF('FNCINVLIQ_prospetto riassuntivo'!$B$26+'FNCINVLIQ_prospetto riassuntivo'!$B$29&gt;J84,J84+1,0))</f>
        <v>95</v>
      </c>
      <c r="K85" s="44">
        <f>O84*'FNCINVLIQ_prospetto riassuntivo'!$B$31*Q85</f>
        <v>6.9059633555724451</v>
      </c>
      <c r="L85" s="44">
        <f t="shared" si="7"/>
        <v>1655.7065110550125</v>
      </c>
      <c r="M85" s="44">
        <f t="shared" si="8"/>
        <v>1662.6124744105848</v>
      </c>
      <c r="N85" s="45">
        <f t="shared" si="9"/>
        <v>126340.84410038024</v>
      </c>
      <c r="O85" s="44">
        <f>('FNCINVLIQ_prospetto riassuntivo'!$B$16-N85)*Q85</f>
        <v>1659.1558996197564</v>
      </c>
      <c r="P85" s="44">
        <f>K85/(1+SUM('FNCINVLIQ_prospetto riassuntivo'!$B$32:$B$33)/'FNCINVLIQ_prospetto riassuntivo'!$B$27)^J85</f>
        <v>5.358047198394118</v>
      </c>
      <c r="Q85">
        <f>IF(J85=0,0,IF(OR(J85&lt;'FNCINVLIQ_prospetto riassuntivo'!$B$26+'FNCINVLIQ_prospetto riassuntivo'!$B$29,J85='FNCINVLIQ_prospetto riassuntivo'!$B$26+'FNCINVLIQ_prospetto riassuntivo'!$B$29),1,0))</f>
        <v>1</v>
      </c>
    </row>
    <row r="86" spans="10:17" x14ac:dyDescent="0.25">
      <c r="J86" s="43">
        <f>IF(J85=0,0,IF('FNCINVLIQ_prospetto riassuntivo'!$B$26+'FNCINVLIQ_prospetto riassuntivo'!$B$29&gt;J85,J85+1,0))</f>
        <v>96</v>
      </c>
      <c r="K86" s="44">
        <f>O85*'FNCINVLIQ_prospetto riassuntivo'!$B$31*Q86</f>
        <v>3.4565747908744924</v>
      </c>
      <c r="L86" s="44">
        <f t="shared" si="7"/>
        <v>1659.1558996197102</v>
      </c>
      <c r="M86" s="44">
        <f t="shared" si="8"/>
        <v>1662.6124744105848</v>
      </c>
      <c r="N86" s="45">
        <f t="shared" si="9"/>
        <v>127999.99999999996</v>
      </c>
      <c r="O86" s="44">
        <f>('FNCINVLIQ_prospetto riassuntivo'!$B$16-N86)*Q86</f>
        <v>4.3655745685100555E-11</v>
      </c>
      <c r="P86" s="44">
        <f>K86/(1+SUM('FNCINVLIQ_prospetto riassuntivo'!$B$32:$B$33)/'FNCINVLIQ_prospetto riassuntivo'!$B$27)^J86</f>
        <v>2.6746566383701986</v>
      </c>
      <c r="Q86">
        <f>IF(J86=0,0,IF(OR(J86&lt;'FNCINVLIQ_prospetto riassuntivo'!$B$26+'FNCINVLIQ_prospetto riassuntivo'!$B$29,J86='FNCINVLIQ_prospetto riassuntivo'!$B$26+'FNCINVLIQ_prospetto riassuntivo'!$B$29),1,0))</f>
        <v>1</v>
      </c>
    </row>
    <row r="87" spans="10:17" x14ac:dyDescent="0.25">
      <c r="J87" s="43">
        <f>IF(J86=0,0,IF('FNCINVLIQ_prospetto riassuntivo'!$B$26+'FNCINVLIQ_prospetto riassuntivo'!$B$29&gt;J86,J86+1,0))</f>
        <v>0</v>
      </c>
      <c r="K87" s="44">
        <f>O86*'FNCINVLIQ_prospetto riassuntivo'!$B$31*Q87</f>
        <v>0</v>
      </c>
      <c r="L87" s="44">
        <f t="shared" si="7"/>
        <v>0</v>
      </c>
      <c r="M87" s="44">
        <f t="shared" si="8"/>
        <v>0</v>
      </c>
      <c r="N87" s="45">
        <f t="shared" si="9"/>
        <v>0</v>
      </c>
      <c r="O87" s="44">
        <f>('FNCINVLIQ_prospetto riassuntivo'!$B$16-N87)*Q87</f>
        <v>0</v>
      </c>
      <c r="P87" s="44">
        <f>K87/(1+SUM('FNCINVLIQ_prospetto riassuntivo'!$B$32:$B$33)/'FNCINVLIQ_prospetto riassuntivo'!$B$27)^J87</f>
        <v>0</v>
      </c>
      <c r="Q87">
        <f>IF(J87=0,0,IF(OR(J87&lt;'FNCINVLIQ_prospetto riassuntivo'!$B$26+'FNCINVLIQ_prospetto riassuntivo'!$B$29,J87='FNCINVLIQ_prospetto riassuntivo'!$B$26+'FNCINVLIQ_prospetto riassuntivo'!$B$29),1,0))</f>
        <v>0</v>
      </c>
    </row>
    <row r="88" spans="10:17" x14ac:dyDescent="0.25">
      <c r="J88" s="43">
        <f>IF(J87=0,0,IF('FNCINVLIQ_prospetto riassuntivo'!$B$26+'FNCINVLIQ_prospetto riassuntivo'!$B$29&gt;J87,J87+1,0))</f>
        <v>0</v>
      </c>
      <c r="K88" s="44">
        <f>O87*'FNCINVLIQ_prospetto riassuntivo'!$B$31*Q88</f>
        <v>0</v>
      </c>
      <c r="L88" s="44">
        <f t="shared" si="7"/>
        <v>0</v>
      </c>
      <c r="M88" s="44">
        <f t="shared" si="8"/>
        <v>0</v>
      </c>
      <c r="N88" s="45">
        <f t="shared" si="9"/>
        <v>0</v>
      </c>
      <c r="O88" s="44">
        <f>('FNCINVLIQ_prospetto riassuntivo'!$B$16-N88)*Q88</f>
        <v>0</v>
      </c>
      <c r="P88" s="44">
        <f>K88/(1+SUM('FNCINVLIQ_prospetto riassuntivo'!$B$32:$B$33)/'FNCINVLIQ_prospetto riassuntivo'!$B$27)^J88</f>
        <v>0</v>
      </c>
      <c r="Q88">
        <f>IF(J88=0,0,IF(OR(J88&lt;'FNCINVLIQ_prospetto riassuntivo'!$B$26+'FNCINVLIQ_prospetto riassuntivo'!$B$29,J88='FNCINVLIQ_prospetto riassuntivo'!$B$26+'FNCINVLIQ_prospetto riassuntivo'!$B$29),1,0))</f>
        <v>0</v>
      </c>
    </row>
    <row r="89" spans="10:17" x14ac:dyDescent="0.25">
      <c r="J89" s="43">
        <f>IF(J88=0,0,IF('FNCINVLIQ_prospetto riassuntivo'!$B$26+'FNCINVLIQ_prospetto riassuntivo'!$B$29&gt;J88,J88+1,0))</f>
        <v>0</v>
      </c>
      <c r="K89" s="44">
        <f>O88*'FNCINVLIQ_prospetto riassuntivo'!$B$31*Q89</f>
        <v>0</v>
      </c>
      <c r="L89" s="44">
        <f t="shared" si="7"/>
        <v>0</v>
      </c>
      <c r="M89" s="44">
        <f t="shared" si="8"/>
        <v>0</v>
      </c>
      <c r="N89" s="45">
        <f t="shared" si="9"/>
        <v>0</v>
      </c>
      <c r="O89" s="44">
        <f>('FNCINVLIQ_prospetto riassuntivo'!$B$16-N89)*Q89</f>
        <v>0</v>
      </c>
      <c r="P89" s="44">
        <f>K89/(1+SUM('FNCINVLIQ_prospetto riassuntivo'!$B$32:$B$33)/'FNCINVLIQ_prospetto riassuntivo'!$B$27)^J89</f>
        <v>0</v>
      </c>
      <c r="Q89">
        <f>IF(J89=0,0,IF(OR(J89&lt;'FNCINVLIQ_prospetto riassuntivo'!$B$26+'FNCINVLIQ_prospetto riassuntivo'!$B$29,J89='FNCINVLIQ_prospetto riassuntivo'!$B$26+'FNCINVLIQ_prospetto riassuntivo'!$B$29),1,0))</f>
        <v>0</v>
      </c>
    </row>
    <row r="90" spans="10:17" x14ac:dyDescent="0.25">
      <c r="J90" s="43">
        <f>IF(J89=0,0,IF('FNCINVLIQ_prospetto riassuntivo'!$B$26+'FNCINVLIQ_prospetto riassuntivo'!$B$29&gt;J89,J89+1,0))</f>
        <v>0</v>
      </c>
      <c r="K90" s="44">
        <f>O89*'FNCINVLIQ_prospetto riassuntivo'!$B$31*Q90</f>
        <v>0</v>
      </c>
      <c r="L90" s="44">
        <f t="shared" si="7"/>
        <v>0</v>
      </c>
      <c r="M90" s="44">
        <f t="shared" si="8"/>
        <v>0</v>
      </c>
      <c r="N90" s="45">
        <f t="shared" si="9"/>
        <v>0</v>
      </c>
      <c r="O90" s="44">
        <f>('FNCINVLIQ_prospetto riassuntivo'!$B$16-N90)*Q90</f>
        <v>0</v>
      </c>
      <c r="P90" s="44">
        <f>K90/(1+SUM('FNCINVLIQ_prospetto riassuntivo'!$B$32:$B$33)/'FNCINVLIQ_prospetto riassuntivo'!$B$27)^J90</f>
        <v>0</v>
      </c>
      <c r="Q90">
        <f>IF(J90=0,0,IF(OR(J90&lt;'FNCINVLIQ_prospetto riassuntivo'!$B$26+'FNCINVLIQ_prospetto riassuntivo'!$B$29,J90='FNCINVLIQ_prospetto riassuntivo'!$B$26+'FNCINVLIQ_prospetto riassuntivo'!$B$29),1,0))</f>
        <v>0</v>
      </c>
    </row>
    <row r="91" spans="10:17" x14ac:dyDescent="0.25">
      <c r="J91" s="43">
        <f>IF(J90=0,0,IF('FNCINVLIQ_prospetto riassuntivo'!$B$26+'FNCINVLIQ_prospetto riassuntivo'!$B$29&gt;J90,J90+1,0))</f>
        <v>0</v>
      </c>
      <c r="K91" s="44">
        <f>O90*'FNCINVLIQ_prospetto riassuntivo'!$B$31*Q91</f>
        <v>0</v>
      </c>
      <c r="L91" s="44">
        <f t="shared" si="7"/>
        <v>0</v>
      </c>
      <c r="M91" s="44">
        <f t="shared" si="8"/>
        <v>0</v>
      </c>
      <c r="N91" s="45">
        <f t="shared" si="9"/>
        <v>0</v>
      </c>
      <c r="O91" s="44">
        <f>('FNCINVLIQ_prospetto riassuntivo'!$B$16-N91)*Q91</f>
        <v>0</v>
      </c>
      <c r="P91" s="44">
        <f>K91/(1+SUM('FNCINVLIQ_prospetto riassuntivo'!$B$32:$B$33)/'FNCINVLIQ_prospetto riassuntivo'!$B$27)^J91</f>
        <v>0</v>
      </c>
      <c r="Q91">
        <f>IF(J91=0,0,IF(OR(J91&lt;'FNCINVLIQ_prospetto riassuntivo'!$B$26+'FNCINVLIQ_prospetto riassuntivo'!$B$29,J91='FNCINVLIQ_prospetto riassuntivo'!$B$26+'FNCINVLIQ_prospetto riassuntivo'!$B$29),1,0))</f>
        <v>0</v>
      </c>
    </row>
    <row r="92" spans="10:17" x14ac:dyDescent="0.25">
      <c r="J92" s="43">
        <f>IF(J91=0,0,IF('FNCINVLIQ_prospetto riassuntivo'!$B$26+'FNCINVLIQ_prospetto riassuntivo'!$B$29&gt;J91,J91+1,0))</f>
        <v>0</v>
      </c>
      <c r="K92" s="44">
        <f>O91*'FNCINVLIQ_prospetto riassuntivo'!$B$31*Q92</f>
        <v>0</v>
      </c>
      <c r="L92" s="44">
        <f t="shared" si="7"/>
        <v>0</v>
      </c>
      <c r="M92" s="44">
        <f t="shared" si="8"/>
        <v>0</v>
      </c>
      <c r="N92" s="45">
        <f t="shared" si="9"/>
        <v>0</v>
      </c>
      <c r="O92" s="44">
        <f>('FNCINVLIQ_prospetto riassuntivo'!$B$16-N92)*Q92</f>
        <v>0</v>
      </c>
      <c r="P92" s="44">
        <f>K92/(1+SUM('FNCINVLIQ_prospetto riassuntivo'!$B$32:$B$33)/'FNCINVLIQ_prospetto riassuntivo'!$B$27)^J92</f>
        <v>0</v>
      </c>
      <c r="Q92">
        <f>IF(J92=0,0,IF(OR(J92&lt;'FNCINVLIQ_prospetto riassuntivo'!$B$26+'FNCINVLIQ_prospetto riassuntivo'!$B$29,J92='FNCINVLIQ_prospetto riassuntivo'!$B$26+'FNCINVLIQ_prospetto riassuntivo'!$B$29),1,0))</f>
        <v>0</v>
      </c>
    </row>
    <row r="93" spans="10:17" x14ac:dyDescent="0.25">
      <c r="J93" s="43">
        <f>IF(J92=0,0,IF('FNCINVLIQ_prospetto riassuntivo'!$B$26+'FNCINVLIQ_prospetto riassuntivo'!$B$29&gt;J92,J92+1,0))</f>
        <v>0</v>
      </c>
      <c r="K93" s="44">
        <f>O92*'FNCINVLIQ_prospetto riassuntivo'!$B$31*Q93</f>
        <v>0</v>
      </c>
      <c r="L93" s="44">
        <f t="shared" si="7"/>
        <v>0</v>
      </c>
      <c r="M93" s="44">
        <f t="shared" si="8"/>
        <v>0</v>
      </c>
      <c r="N93" s="45">
        <f t="shared" si="9"/>
        <v>0</v>
      </c>
      <c r="O93" s="44">
        <f>('FNCINVLIQ_prospetto riassuntivo'!$B$16-N93)*Q93</f>
        <v>0</v>
      </c>
      <c r="P93" s="44">
        <f>K93/(1+SUM('FNCINVLIQ_prospetto riassuntivo'!$B$32:$B$33)/'FNCINVLIQ_prospetto riassuntivo'!$B$27)^J93</f>
        <v>0</v>
      </c>
      <c r="Q93">
        <f>IF(J93=0,0,IF(OR(J93&lt;'FNCINVLIQ_prospetto riassuntivo'!$B$26+'FNCINVLIQ_prospetto riassuntivo'!$B$29,J93='FNCINVLIQ_prospetto riassuntivo'!$B$26+'FNCINVLIQ_prospetto riassuntivo'!$B$29),1,0))</f>
        <v>0</v>
      </c>
    </row>
    <row r="94" spans="10:17" x14ac:dyDescent="0.25">
      <c r="J94" s="43">
        <f>IF(J93=0,0,IF('FNCINVLIQ_prospetto riassuntivo'!$B$26+'FNCINVLIQ_prospetto riassuntivo'!$B$29&gt;J93,J93+1,0))</f>
        <v>0</v>
      </c>
      <c r="K94" s="44">
        <f>O93*'FNCINVLIQ_prospetto riassuntivo'!$B$31*Q94</f>
        <v>0</v>
      </c>
      <c r="L94" s="44">
        <f t="shared" si="7"/>
        <v>0</v>
      </c>
      <c r="M94" s="44">
        <f t="shared" si="8"/>
        <v>0</v>
      </c>
      <c r="N94" s="45">
        <f t="shared" si="9"/>
        <v>0</v>
      </c>
      <c r="O94" s="44">
        <f>('FNCINVLIQ_prospetto riassuntivo'!$B$16-N94)*Q94</f>
        <v>0</v>
      </c>
      <c r="P94" s="44">
        <f>K94/(1+SUM('FNCINVLIQ_prospetto riassuntivo'!$B$32:$B$33)/'FNCINVLIQ_prospetto riassuntivo'!$B$27)^J94</f>
        <v>0</v>
      </c>
      <c r="Q94">
        <f>IF(J94=0,0,IF(OR(J94&lt;'FNCINVLIQ_prospetto riassuntivo'!$B$26+'FNCINVLIQ_prospetto riassuntivo'!$B$29,J94='FNCINVLIQ_prospetto riassuntivo'!$B$26+'FNCINVLIQ_prospetto riassuntivo'!$B$29),1,0))</f>
        <v>0</v>
      </c>
    </row>
    <row r="95" spans="10:17" x14ac:dyDescent="0.25">
      <c r="J95" s="43">
        <f>IF(J94=0,0,IF('FNCINVLIQ_prospetto riassuntivo'!$B$26+'FNCINVLIQ_prospetto riassuntivo'!$B$29&gt;J94,J94+1,0))</f>
        <v>0</v>
      </c>
      <c r="K95" s="44">
        <f>O94*'FNCINVLIQ_prospetto riassuntivo'!$B$31*Q95</f>
        <v>0</v>
      </c>
      <c r="L95" s="44">
        <f t="shared" si="7"/>
        <v>0</v>
      </c>
      <c r="M95" s="44">
        <f t="shared" si="8"/>
        <v>0</v>
      </c>
      <c r="N95" s="45">
        <f t="shared" si="9"/>
        <v>0</v>
      </c>
      <c r="O95" s="44">
        <f>('FNCINVLIQ_prospetto riassuntivo'!$B$16-N95)*Q95</f>
        <v>0</v>
      </c>
      <c r="P95" s="44">
        <f>K95/(1+SUM('FNCINVLIQ_prospetto riassuntivo'!$B$32:$B$33)/'FNCINVLIQ_prospetto riassuntivo'!$B$27)^J95</f>
        <v>0</v>
      </c>
      <c r="Q95">
        <f>IF(J95=0,0,IF(OR(J95&lt;'FNCINVLIQ_prospetto riassuntivo'!$B$26+'FNCINVLIQ_prospetto riassuntivo'!$B$29,J95='FNCINVLIQ_prospetto riassuntivo'!$B$26+'FNCINVLIQ_prospetto riassuntivo'!$B$29),1,0))</f>
        <v>0</v>
      </c>
    </row>
    <row r="96" spans="10:17" x14ac:dyDescent="0.25">
      <c r="J96" s="43">
        <f>IF(J95=0,0,IF('FNCINVLIQ_prospetto riassuntivo'!$B$26+'FNCINVLIQ_prospetto riassuntivo'!$B$29&gt;J95,J95+1,0))</f>
        <v>0</v>
      </c>
      <c r="K96" s="44">
        <f>O95*'FNCINVLIQ_prospetto riassuntivo'!$B$31*Q96</f>
        <v>0</v>
      </c>
      <c r="L96" s="44">
        <f t="shared" si="7"/>
        <v>0</v>
      </c>
      <c r="M96" s="44">
        <f t="shared" si="8"/>
        <v>0</v>
      </c>
      <c r="N96" s="45">
        <f t="shared" si="9"/>
        <v>0</v>
      </c>
      <c r="O96" s="44">
        <f>('FNCINVLIQ_prospetto riassuntivo'!$B$16-N96)*Q96</f>
        <v>0</v>
      </c>
      <c r="P96" s="44">
        <f>K96/(1+SUM('FNCINVLIQ_prospetto riassuntivo'!$B$32:$B$33)/'FNCINVLIQ_prospetto riassuntivo'!$B$27)^J96</f>
        <v>0</v>
      </c>
      <c r="Q96">
        <f>IF(J96=0,0,IF(OR(J96&lt;'FNCINVLIQ_prospetto riassuntivo'!$B$26+'FNCINVLIQ_prospetto riassuntivo'!$B$29,J96='FNCINVLIQ_prospetto riassuntivo'!$B$26+'FNCINVLIQ_prospetto riassuntivo'!$B$29),1,0))</f>
        <v>0</v>
      </c>
    </row>
    <row r="97" spans="10:17" x14ac:dyDescent="0.25">
      <c r="J97" s="43">
        <f>IF(J96=0,0,IF('FNCINVLIQ_prospetto riassuntivo'!$B$26+'FNCINVLIQ_prospetto riassuntivo'!$B$29&gt;J96,J96+1,0))</f>
        <v>0</v>
      </c>
      <c r="K97" s="44">
        <f>O96*'FNCINVLIQ_prospetto riassuntivo'!$B$31*Q97</f>
        <v>0</v>
      </c>
      <c r="L97" s="44">
        <f t="shared" si="7"/>
        <v>0</v>
      </c>
      <c r="M97" s="44">
        <f t="shared" si="8"/>
        <v>0</v>
      </c>
      <c r="N97" s="45">
        <f t="shared" si="9"/>
        <v>0</v>
      </c>
      <c r="O97" s="44">
        <f>('FNCINVLIQ_prospetto riassuntivo'!$B$16-N97)*Q97</f>
        <v>0</v>
      </c>
      <c r="P97" s="44">
        <f>K97/(1+SUM('FNCINVLIQ_prospetto riassuntivo'!$B$32:$B$33)/'FNCINVLIQ_prospetto riassuntivo'!$B$27)^J97</f>
        <v>0</v>
      </c>
      <c r="Q97">
        <f>IF(J97=0,0,IF(OR(J97&lt;'FNCINVLIQ_prospetto riassuntivo'!$B$26+'FNCINVLIQ_prospetto riassuntivo'!$B$29,J97='FNCINVLIQ_prospetto riassuntivo'!$B$26+'FNCINVLIQ_prospetto riassuntivo'!$B$29),1,0))</f>
        <v>0</v>
      </c>
    </row>
    <row r="98" spans="10:17" x14ac:dyDescent="0.25">
      <c r="J98" s="43">
        <f>IF(J97=0,0,IF('FNCINVLIQ_prospetto riassuntivo'!$B$26+'FNCINVLIQ_prospetto riassuntivo'!$B$29&gt;J97,J97+1,0))</f>
        <v>0</v>
      </c>
      <c r="K98" s="44">
        <f>O97*'FNCINVLIQ_prospetto riassuntivo'!$B$31*Q98</f>
        <v>0</v>
      </c>
      <c r="L98" s="44">
        <f t="shared" si="7"/>
        <v>0</v>
      </c>
      <c r="M98" s="44">
        <f t="shared" si="8"/>
        <v>0</v>
      </c>
      <c r="N98" s="45">
        <f t="shared" si="9"/>
        <v>0</v>
      </c>
      <c r="O98" s="44">
        <f>('FNCINVLIQ_prospetto riassuntivo'!$B$16-N98)*Q98</f>
        <v>0</v>
      </c>
      <c r="P98" s="44">
        <f>K98/(1+SUM('FNCINVLIQ_prospetto riassuntivo'!$B$32:$B$33)/'FNCINVLIQ_prospetto riassuntivo'!$B$27)^J98</f>
        <v>0</v>
      </c>
      <c r="Q98">
        <f>IF(J98=0,0,IF(OR(J98&lt;'FNCINVLIQ_prospetto riassuntivo'!$B$26+'FNCINVLIQ_prospetto riassuntivo'!$B$29,J98='FNCINVLIQ_prospetto riassuntivo'!$B$26+'FNCINVLIQ_prospetto riassuntivo'!$B$29),1,0))</f>
        <v>0</v>
      </c>
    </row>
  </sheetData>
  <mergeCells count="2">
    <mergeCell ref="A1:G1"/>
    <mergeCell ref="J1:P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3D6DB-4EC2-40BA-A329-87F8D7430CD8}">
  <dimension ref="A1:H85"/>
  <sheetViews>
    <sheetView workbookViewId="0">
      <selection activeCell="B4" sqref="B4"/>
    </sheetView>
  </sheetViews>
  <sheetFormatPr defaultRowHeight="13.2" x14ac:dyDescent="0.25"/>
  <cols>
    <col min="1" max="1" width="38.33203125" bestFit="1" customWidth="1"/>
    <col min="2" max="2" width="19" bestFit="1" customWidth="1"/>
    <col min="3" max="3" width="11.109375" bestFit="1" customWidth="1"/>
    <col min="4" max="4" width="15.6640625" bestFit="1" customWidth="1"/>
    <col min="5" max="5" width="12.109375" bestFit="1" customWidth="1"/>
  </cols>
  <sheetData>
    <row r="1" spans="1:8" ht="22.2" thickTop="1" thickBot="1" x14ac:dyDescent="0.45">
      <c r="A1" s="7"/>
      <c r="B1" s="8"/>
      <c r="C1" s="9" t="s">
        <v>26</v>
      </c>
      <c r="D1" s="33">
        <f>B85</f>
        <v>753.68317916062051</v>
      </c>
      <c r="E1" s="10"/>
      <c r="F1" s="10"/>
      <c r="G1" s="11"/>
      <c r="H1" s="11"/>
    </row>
    <row r="2" spans="1:8" ht="13.8" thickTop="1" x14ac:dyDescent="0.25">
      <c r="A2" s="12"/>
      <c r="B2" s="13"/>
      <c r="C2" s="13"/>
      <c r="D2" s="13"/>
      <c r="E2" s="13"/>
      <c r="F2" s="10"/>
      <c r="G2" s="11"/>
      <c r="H2" s="11"/>
    </row>
    <row r="3" spans="1:8" x14ac:dyDescent="0.25">
      <c r="A3" s="14"/>
      <c r="B3" s="10"/>
      <c r="C3" s="10"/>
      <c r="D3" s="10"/>
      <c r="E3" s="10"/>
      <c r="F3" s="10"/>
      <c r="G3" s="11"/>
      <c r="H3" s="11"/>
    </row>
    <row r="4" spans="1:8" x14ac:dyDescent="0.25">
      <c r="A4" s="15" t="s">
        <v>27</v>
      </c>
      <c r="B4" s="34">
        <f>'FNCINVLIQ_prospetto riassuntivo'!B37</f>
        <v>1.17E-2</v>
      </c>
      <c r="C4" s="11"/>
      <c r="D4" s="11"/>
      <c r="E4" s="11"/>
      <c r="F4" s="16"/>
      <c r="G4" s="11"/>
      <c r="H4" s="11"/>
    </row>
    <row r="5" spans="1:8" x14ac:dyDescent="0.25">
      <c r="A5" s="15" t="s">
        <v>28</v>
      </c>
      <c r="B5" s="39">
        <v>6.0000000000000001E-3</v>
      </c>
      <c r="C5" s="11"/>
      <c r="D5" s="11"/>
      <c r="E5" s="11"/>
      <c r="F5" s="11"/>
      <c r="G5" s="11"/>
      <c r="H5" s="11"/>
    </row>
    <row r="6" spans="1:8" x14ac:dyDescent="0.25">
      <c r="A6" s="15" t="s">
        <v>29</v>
      </c>
      <c r="B6" s="39">
        <v>3.2000000000000002E-3</v>
      </c>
      <c r="C6" s="11"/>
      <c r="D6" s="17"/>
      <c r="E6" s="11"/>
      <c r="F6" s="11"/>
      <c r="G6" s="11"/>
      <c r="H6" s="11"/>
    </row>
    <row r="7" spans="1:8" x14ac:dyDescent="0.25">
      <c r="A7" s="15" t="s">
        <v>30</v>
      </c>
      <c r="B7" s="35">
        <v>0</v>
      </c>
      <c r="C7" s="11"/>
      <c r="D7" s="17"/>
      <c r="E7" s="11"/>
      <c r="F7" s="11"/>
      <c r="G7" s="11"/>
      <c r="H7" s="11"/>
    </row>
    <row r="8" spans="1:8" x14ac:dyDescent="0.25">
      <c r="A8" s="15" t="s">
        <v>31</v>
      </c>
      <c r="B8" s="36">
        <f>'FNCINVLIQ_prospetto riassuntivo'!B16</f>
        <v>128000</v>
      </c>
      <c r="C8" s="11"/>
      <c r="D8" s="11"/>
      <c r="E8" s="18"/>
      <c r="F8" s="11"/>
      <c r="G8" s="11"/>
      <c r="H8" s="11"/>
    </row>
    <row r="9" spans="1:8" x14ac:dyDescent="0.25">
      <c r="A9" s="15" t="s">
        <v>32</v>
      </c>
      <c r="B9" s="34">
        <f>IF('FNCINVLIQ_prospetto riassuntivo'!B11="NO",80%*'FNCINVLIQ_prospetto riassuntivo'!B17,10%*'FNCINVLIQ_prospetto riassuntivo'!B17)</f>
        <v>6.5000000000000002E-2</v>
      </c>
      <c r="C9" s="11"/>
      <c r="D9" s="11"/>
      <c r="E9" s="11"/>
      <c r="F9" s="11"/>
      <c r="G9" s="11"/>
      <c r="H9" s="11"/>
    </row>
    <row r="10" spans="1:8" x14ac:dyDescent="0.25">
      <c r="A10" s="15" t="s">
        <v>33</v>
      </c>
      <c r="B10" s="40">
        <f>+B8*B9</f>
        <v>8320</v>
      </c>
      <c r="C10" s="11"/>
      <c r="D10" s="11"/>
      <c r="E10" s="11"/>
      <c r="F10" s="11"/>
      <c r="G10" s="11"/>
      <c r="H10" s="11"/>
    </row>
    <row r="11" spans="1:8" x14ac:dyDescent="0.25">
      <c r="A11" s="15" t="s">
        <v>34</v>
      </c>
      <c r="B11" s="37">
        <f>ROUNDUP('FNCINVLIQ_prospetto riassuntivo'!B21/12,0)</f>
        <v>8</v>
      </c>
      <c r="C11" s="11"/>
      <c r="D11" s="11"/>
      <c r="E11" s="11"/>
      <c r="F11" s="11"/>
      <c r="G11" s="11"/>
      <c r="H11" s="11"/>
    </row>
    <row r="12" spans="1:8" x14ac:dyDescent="0.25">
      <c r="A12" s="15" t="s">
        <v>35</v>
      </c>
      <c r="B12" s="38">
        <f>'FNCINVLIQ_prospetto riassuntivo'!B32+1%</f>
        <v>3.2100000000000004E-2</v>
      </c>
      <c r="C12" s="11"/>
      <c r="D12" s="11"/>
      <c r="E12" s="11"/>
      <c r="F12" s="11"/>
      <c r="G12" s="11"/>
      <c r="H12" s="11"/>
    </row>
    <row r="13" spans="1:8" x14ac:dyDescent="0.25">
      <c r="A13" s="15"/>
      <c r="B13" s="11"/>
      <c r="C13" s="11"/>
      <c r="D13" s="11"/>
      <c r="E13" s="11"/>
      <c r="F13" s="11"/>
      <c r="G13" s="11"/>
      <c r="H13" s="11"/>
    </row>
    <row r="14" spans="1:8" x14ac:dyDescent="0.25">
      <c r="A14" s="19" t="s">
        <v>36</v>
      </c>
      <c r="B14" s="20">
        <f>-PMT(B12,B11,B8)</f>
        <v>18396.302277230774</v>
      </c>
      <c r="C14" s="10"/>
      <c r="D14" s="21"/>
      <c r="E14" s="10"/>
      <c r="F14" s="10"/>
      <c r="G14" s="11"/>
      <c r="H14" s="11"/>
    </row>
    <row r="15" spans="1:8" x14ac:dyDescent="0.25">
      <c r="A15" s="19" t="s">
        <v>37</v>
      </c>
      <c r="B15" s="15" t="s">
        <v>38</v>
      </c>
      <c r="C15" s="22" t="s">
        <v>39</v>
      </c>
      <c r="D15" s="23" t="s">
        <v>40</v>
      </c>
      <c r="E15" s="10" t="s">
        <v>41</v>
      </c>
      <c r="F15" s="11"/>
      <c r="G15" s="11"/>
      <c r="H15" s="11"/>
    </row>
    <row r="16" spans="1:8" x14ac:dyDescent="0.25">
      <c r="A16" s="15">
        <v>1</v>
      </c>
      <c r="B16" s="24">
        <f>B8</f>
        <v>128000</v>
      </c>
      <c r="C16" s="18">
        <f t="shared" ref="C16:C45" si="0">B$12*B16</f>
        <v>4108.8</v>
      </c>
      <c r="D16" s="25">
        <f t="shared" ref="D16:D45" si="1">E16-C16</f>
        <v>14287.502277230775</v>
      </c>
      <c r="E16" s="26">
        <f t="shared" ref="E16:E45" si="2">IF(B$11&gt;=A16,B$14,IF(B$11&lt;A16,0))</f>
        <v>18396.302277230774</v>
      </c>
      <c r="F16" s="11"/>
      <c r="G16" s="26"/>
      <c r="H16" s="11"/>
    </row>
    <row r="17" spans="1:8" x14ac:dyDescent="0.25">
      <c r="A17" s="15">
        <v>2</v>
      </c>
      <c r="B17" s="24">
        <f t="shared" ref="B17:B46" si="3">B16-D16</f>
        <v>113712.49772276923</v>
      </c>
      <c r="C17" s="18">
        <f t="shared" si="0"/>
        <v>3650.1711769008925</v>
      </c>
      <c r="D17" s="25">
        <f t="shared" si="1"/>
        <v>14746.131100329882</v>
      </c>
      <c r="E17" s="26">
        <f t="shared" si="2"/>
        <v>18396.302277230774</v>
      </c>
      <c r="F17" s="11"/>
      <c r="G17" s="26"/>
      <c r="H17" s="11"/>
    </row>
    <row r="18" spans="1:8" x14ac:dyDescent="0.25">
      <c r="A18" s="15">
        <v>3</v>
      </c>
      <c r="B18" s="24">
        <f t="shared" si="3"/>
        <v>98966.366622439353</v>
      </c>
      <c r="C18" s="18">
        <f t="shared" si="0"/>
        <v>3176.8203685803037</v>
      </c>
      <c r="D18" s="25">
        <f t="shared" si="1"/>
        <v>15219.48190865047</v>
      </c>
      <c r="E18" s="26">
        <f t="shared" si="2"/>
        <v>18396.302277230774</v>
      </c>
      <c r="F18" s="11"/>
      <c r="G18" s="26"/>
      <c r="H18" s="11"/>
    </row>
    <row r="19" spans="1:8" x14ac:dyDescent="0.25">
      <c r="A19" s="15">
        <v>4</v>
      </c>
      <c r="B19" s="24">
        <f t="shared" si="3"/>
        <v>83746.884713788881</v>
      </c>
      <c r="C19" s="18">
        <f t="shared" si="0"/>
        <v>2688.2749993126235</v>
      </c>
      <c r="D19" s="25">
        <f t="shared" si="1"/>
        <v>15708.027277918151</v>
      </c>
      <c r="E19" s="26">
        <f t="shared" si="2"/>
        <v>18396.302277230774</v>
      </c>
      <c r="F19" s="11"/>
      <c r="G19" s="26"/>
      <c r="H19" s="11"/>
    </row>
    <row r="20" spans="1:8" x14ac:dyDescent="0.25">
      <c r="A20" s="15">
        <v>5</v>
      </c>
      <c r="B20" s="24">
        <f t="shared" si="3"/>
        <v>68038.857435870726</v>
      </c>
      <c r="C20" s="18">
        <f t="shared" si="0"/>
        <v>2184.0473236914504</v>
      </c>
      <c r="D20" s="25">
        <f t="shared" si="1"/>
        <v>16212.254953539323</v>
      </c>
      <c r="E20" s="26">
        <f t="shared" si="2"/>
        <v>18396.302277230774</v>
      </c>
      <c r="F20" s="11"/>
      <c r="G20" s="26"/>
      <c r="H20" s="11"/>
    </row>
    <row r="21" spans="1:8" x14ac:dyDescent="0.25">
      <c r="A21" s="15">
        <v>6</v>
      </c>
      <c r="B21" s="24">
        <f t="shared" si="3"/>
        <v>51826.602482331407</v>
      </c>
      <c r="C21" s="18">
        <f t="shared" si="0"/>
        <v>1663.6339396828384</v>
      </c>
      <c r="D21" s="25">
        <f t="shared" si="1"/>
        <v>16732.668337547937</v>
      </c>
      <c r="E21" s="26">
        <f t="shared" si="2"/>
        <v>18396.302277230774</v>
      </c>
      <c r="F21" s="11"/>
      <c r="G21" s="26"/>
      <c r="H21" s="11"/>
    </row>
    <row r="22" spans="1:8" x14ac:dyDescent="0.25">
      <c r="A22" s="15">
        <v>7</v>
      </c>
      <c r="B22" s="24">
        <f t="shared" si="3"/>
        <v>35093.934144783474</v>
      </c>
      <c r="C22" s="18">
        <f t="shared" si="0"/>
        <v>1126.5152860475496</v>
      </c>
      <c r="D22" s="25">
        <f t="shared" si="1"/>
        <v>17269.786991183224</v>
      </c>
      <c r="E22" s="26">
        <f t="shared" si="2"/>
        <v>18396.302277230774</v>
      </c>
      <c r="F22" s="26"/>
      <c r="G22" s="11"/>
      <c r="H22" s="11"/>
    </row>
    <row r="23" spans="1:8" x14ac:dyDescent="0.25">
      <c r="A23" s="15">
        <v>8</v>
      </c>
      <c r="B23" s="24">
        <f t="shared" si="3"/>
        <v>17824.14715360025</v>
      </c>
      <c r="C23" s="18">
        <f t="shared" si="0"/>
        <v>572.15512363056814</v>
      </c>
      <c r="D23" s="25">
        <f t="shared" si="1"/>
        <v>17824.147153600206</v>
      </c>
      <c r="E23" s="26">
        <f t="shared" si="2"/>
        <v>18396.302277230774</v>
      </c>
      <c r="F23" s="11"/>
      <c r="G23" s="11"/>
      <c r="H23" s="11"/>
    </row>
    <row r="24" spans="1:8" x14ac:dyDescent="0.25">
      <c r="A24" s="15">
        <v>9</v>
      </c>
      <c r="B24" s="24">
        <f t="shared" si="3"/>
        <v>4.3655745685100555E-11</v>
      </c>
      <c r="C24" s="18">
        <f t="shared" si="0"/>
        <v>1.401349436491728E-12</v>
      </c>
      <c r="D24" s="25">
        <f t="shared" si="1"/>
        <v>-1.401349436491728E-12</v>
      </c>
      <c r="E24" s="26">
        <f t="shared" si="2"/>
        <v>0</v>
      </c>
      <c r="F24" s="11"/>
      <c r="G24" s="11"/>
      <c r="H24" s="11"/>
    </row>
    <row r="25" spans="1:8" x14ac:dyDescent="0.25">
      <c r="A25" s="15">
        <v>10</v>
      </c>
      <c r="B25" s="24">
        <f t="shared" si="3"/>
        <v>4.5057095121592281E-11</v>
      </c>
      <c r="C25" s="18">
        <f t="shared" si="0"/>
        <v>1.4463327534031125E-12</v>
      </c>
      <c r="D25" s="25">
        <f t="shared" si="1"/>
        <v>-1.4463327534031125E-12</v>
      </c>
      <c r="E25" s="26">
        <f t="shared" si="2"/>
        <v>0</v>
      </c>
      <c r="F25" s="11"/>
      <c r="G25" s="11"/>
      <c r="H25" s="11"/>
    </row>
    <row r="26" spans="1:8" x14ac:dyDescent="0.25">
      <c r="A26" s="15">
        <v>11</v>
      </c>
      <c r="B26" s="24">
        <f t="shared" si="3"/>
        <v>4.6503427874995395E-11</v>
      </c>
      <c r="C26" s="18">
        <f t="shared" si="0"/>
        <v>1.4927600347873523E-12</v>
      </c>
      <c r="D26" s="25">
        <f t="shared" si="1"/>
        <v>-1.4927600347873523E-12</v>
      </c>
      <c r="E26" s="26">
        <f t="shared" si="2"/>
        <v>0</v>
      </c>
      <c r="F26" s="11"/>
      <c r="G26" s="11"/>
      <c r="H26" s="11"/>
    </row>
    <row r="27" spans="1:8" x14ac:dyDescent="0.25">
      <c r="A27" s="15">
        <v>12</v>
      </c>
      <c r="B27" s="24">
        <f t="shared" si="3"/>
        <v>4.7996187909782751E-11</v>
      </c>
      <c r="C27" s="18">
        <f t="shared" si="0"/>
        <v>1.5406776319040265E-12</v>
      </c>
      <c r="D27" s="25">
        <f t="shared" si="1"/>
        <v>-1.5406776319040265E-12</v>
      </c>
      <c r="E27" s="26">
        <f t="shared" si="2"/>
        <v>0</v>
      </c>
      <c r="F27" s="11"/>
      <c r="G27" s="11"/>
      <c r="H27" s="11"/>
    </row>
    <row r="28" spans="1:8" x14ac:dyDescent="0.25">
      <c r="A28" s="15">
        <v>13</v>
      </c>
      <c r="B28" s="24">
        <f t="shared" si="3"/>
        <v>4.9536865541686776E-11</v>
      </c>
      <c r="C28" s="18">
        <f t="shared" si="0"/>
        <v>1.5901333838881457E-12</v>
      </c>
      <c r="D28" s="25">
        <f t="shared" si="1"/>
        <v>-1.5901333838881457E-12</v>
      </c>
      <c r="E28" s="26">
        <f t="shared" si="2"/>
        <v>0</v>
      </c>
      <c r="F28" s="11"/>
      <c r="G28" s="11"/>
      <c r="H28" s="11"/>
    </row>
    <row r="29" spans="1:8" x14ac:dyDescent="0.25">
      <c r="A29" s="15">
        <v>14</v>
      </c>
      <c r="B29" s="24">
        <f t="shared" si="3"/>
        <v>5.1126998925574924E-11</v>
      </c>
      <c r="C29" s="18">
        <f t="shared" si="0"/>
        <v>1.6411766655109552E-12</v>
      </c>
      <c r="D29" s="25">
        <f t="shared" si="1"/>
        <v>-1.6411766655109552E-12</v>
      </c>
      <c r="E29" s="26">
        <f t="shared" si="2"/>
        <v>0</v>
      </c>
      <c r="F29" s="25"/>
      <c r="G29" s="11"/>
      <c r="H29" s="11"/>
    </row>
    <row r="30" spans="1:8" x14ac:dyDescent="0.25">
      <c r="A30" s="15">
        <v>15</v>
      </c>
      <c r="B30" s="24">
        <f t="shared" si="3"/>
        <v>5.2768175591085878E-11</v>
      </c>
      <c r="C30" s="18">
        <f t="shared" si="0"/>
        <v>1.6938584364738569E-12</v>
      </c>
      <c r="D30" s="25">
        <f t="shared" si="1"/>
        <v>-1.6938584364738569E-12</v>
      </c>
      <c r="E30" s="26">
        <f t="shared" si="2"/>
        <v>0</v>
      </c>
      <c r="F30" s="11"/>
      <c r="G30" s="11"/>
      <c r="H30" s="11"/>
    </row>
    <row r="31" spans="1:8" x14ac:dyDescent="0.25">
      <c r="A31" s="15">
        <v>16</v>
      </c>
      <c r="B31" s="24">
        <f t="shared" si="3"/>
        <v>5.4462034027559735E-11</v>
      </c>
      <c r="C31" s="18">
        <f t="shared" si="0"/>
        <v>1.7482312922846678E-12</v>
      </c>
      <c r="D31" s="25">
        <f t="shared" si="1"/>
        <v>-1.7482312922846678E-12</v>
      </c>
      <c r="E31" s="26">
        <f t="shared" si="2"/>
        <v>0</v>
      </c>
      <c r="F31" s="11"/>
      <c r="G31" s="11"/>
      <c r="H31" s="11"/>
    </row>
    <row r="32" spans="1:8" x14ac:dyDescent="0.25">
      <c r="A32" s="15">
        <v>17</v>
      </c>
      <c r="B32" s="24">
        <f t="shared" si="3"/>
        <v>5.6210265319844406E-11</v>
      </c>
      <c r="C32" s="18">
        <f t="shared" si="0"/>
        <v>1.8043495167670055E-12</v>
      </c>
      <c r="D32" s="25">
        <f t="shared" si="1"/>
        <v>-1.8043495167670055E-12</v>
      </c>
      <c r="E32" s="26">
        <f t="shared" si="2"/>
        <v>0</v>
      </c>
      <c r="F32" s="11"/>
      <c r="G32" s="11"/>
      <c r="H32" s="27"/>
    </row>
    <row r="33" spans="1:8" x14ac:dyDescent="0.25">
      <c r="A33" s="15">
        <v>18</v>
      </c>
      <c r="B33" s="24">
        <f t="shared" si="3"/>
        <v>5.8014614836611411E-11</v>
      </c>
      <c r="C33" s="18">
        <f t="shared" si="0"/>
        <v>1.8622691362552267E-12</v>
      </c>
      <c r="D33" s="25">
        <f t="shared" si="1"/>
        <v>-1.8622691362552267E-12</v>
      </c>
      <c r="E33" s="26">
        <f t="shared" si="2"/>
        <v>0</v>
      </c>
      <c r="F33" s="11"/>
      <c r="G33" s="11"/>
      <c r="H33" s="11"/>
    </row>
    <row r="34" spans="1:8" x14ac:dyDescent="0.25">
      <c r="A34" s="15">
        <v>19</v>
      </c>
      <c r="B34" s="24">
        <f t="shared" si="3"/>
        <v>5.9876883972866643E-11</v>
      </c>
      <c r="C34" s="18">
        <f t="shared" si="0"/>
        <v>1.9220479755290195E-12</v>
      </c>
      <c r="D34" s="25">
        <f t="shared" si="1"/>
        <v>-1.9220479755290195E-12</v>
      </c>
      <c r="E34" s="26">
        <f t="shared" si="2"/>
        <v>0</v>
      </c>
      <c r="F34" s="11"/>
      <c r="G34" s="11"/>
      <c r="H34" s="11"/>
    </row>
    <row r="35" spans="1:8" x14ac:dyDescent="0.25">
      <c r="A35" s="15">
        <v>20</v>
      </c>
      <c r="B35" s="24">
        <f t="shared" si="3"/>
        <v>6.1798931948395665E-11</v>
      </c>
      <c r="C35" s="18">
        <f t="shared" si="0"/>
        <v>1.9837457155435011E-12</v>
      </c>
      <c r="D35" s="25">
        <f t="shared" si="1"/>
        <v>-1.9837457155435011E-12</v>
      </c>
      <c r="E35" s="26">
        <f t="shared" si="2"/>
        <v>0</v>
      </c>
      <c r="F35" s="11"/>
      <c r="G35" s="11"/>
      <c r="H35" s="11"/>
    </row>
    <row r="36" spans="1:8" x14ac:dyDescent="0.25">
      <c r="A36" s="15">
        <v>21</v>
      </c>
      <c r="B36" s="24">
        <f t="shared" si="3"/>
        <v>6.3782677663939168E-11</v>
      </c>
      <c r="C36" s="18">
        <f t="shared" si="0"/>
        <v>2.0474239530124476E-12</v>
      </c>
      <c r="D36" s="25">
        <f t="shared" si="1"/>
        <v>-2.0474239530124476E-12</v>
      </c>
      <c r="E36" s="26">
        <f t="shared" si="2"/>
        <v>0</v>
      </c>
      <c r="F36" s="11"/>
      <c r="G36" s="11"/>
      <c r="H36" s="11"/>
    </row>
    <row r="37" spans="1:8" x14ac:dyDescent="0.25">
      <c r="A37" s="15">
        <v>22</v>
      </c>
      <c r="B37" s="24">
        <f t="shared" si="3"/>
        <v>6.583010161695162E-11</v>
      </c>
      <c r="C37" s="18">
        <f t="shared" si="0"/>
        <v>2.1131462619041472E-12</v>
      </c>
      <c r="D37" s="25">
        <f t="shared" si="1"/>
        <v>-2.1131462619041472E-12</v>
      </c>
      <c r="E37" s="26">
        <f t="shared" si="2"/>
        <v>0</v>
      </c>
      <c r="F37" s="11"/>
      <c r="G37" s="11"/>
      <c r="H37" s="11"/>
    </row>
    <row r="38" spans="1:8" x14ac:dyDescent="0.25">
      <c r="A38" s="15">
        <v>23</v>
      </c>
      <c r="B38" s="24">
        <f t="shared" si="3"/>
        <v>6.7943247878855768E-11</v>
      </c>
      <c r="C38" s="18">
        <f t="shared" si="0"/>
        <v>2.1809782569112706E-12</v>
      </c>
      <c r="D38" s="25">
        <f t="shared" si="1"/>
        <v>-2.1809782569112706E-12</v>
      </c>
      <c r="E38" s="26">
        <f t="shared" si="2"/>
        <v>0</v>
      </c>
      <c r="F38" s="11"/>
      <c r="G38" s="11"/>
      <c r="H38" s="11"/>
    </row>
    <row r="39" spans="1:8" x14ac:dyDescent="0.25">
      <c r="A39" s="15">
        <v>24</v>
      </c>
      <c r="B39" s="24">
        <f t="shared" si="3"/>
        <v>7.0124226135767037E-11</v>
      </c>
      <c r="C39" s="18">
        <f t="shared" si="0"/>
        <v>2.2509876589581222E-12</v>
      </c>
      <c r="D39" s="25">
        <f t="shared" si="1"/>
        <v>-2.2509876589581222E-12</v>
      </c>
      <c r="E39" s="26">
        <f t="shared" si="2"/>
        <v>0</v>
      </c>
      <c r="F39" s="11"/>
      <c r="G39" s="11"/>
      <c r="H39" s="11"/>
    </row>
    <row r="40" spans="1:8" x14ac:dyDescent="0.25">
      <c r="A40" s="15">
        <v>25</v>
      </c>
      <c r="B40" s="24">
        <f t="shared" si="3"/>
        <v>7.2375213794725156E-11</v>
      </c>
      <c r="C40" s="18">
        <f t="shared" si="0"/>
        <v>2.3232443628106776E-12</v>
      </c>
      <c r="D40" s="25">
        <f t="shared" si="1"/>
        <v>-2.3232443628106776E-12</v>
      </c>
      <c r="E40" s="26">
        <f t="shared" si="2"/>
        <v>0</v>
      </c>
      <c r="F40" s="11"/>
      <c r="G40" s="11"/>
      <c r="H40" s="11"/>
    </row>
    <row r="41" spans="1:8" x14ac:dyDescent="0.25">
      <c r="A41" s="15">
        <v>26</v>
      </c>
      <c r="B41" s="24">
        <f t="shared" si="3"/>
        <v>7.4698458157535836E-11</v>
      </c>
      <c r="C41" s="18">
        <f t="shared" si="0"/>
        <v>2.3978205068569006E-12</v>
      </c>
      <c r="D41" s="25">
        <f t="shared" si="1"/>
        <v>-2.3978205068569006E-12</v>
      </c>
      <c r="E41" s="26">
        <f t="shared" si="2"/>
        <v>0</v>
      </c>
      <c r="F41" s="11"/>
      <c r="G41" s="11"/>
      <c r="H41" s="11"/>
    </row>
    <row r="42" spans="1:8" x14ac:dyDescent="0.25">
      <c r="A42" s="15">
        <v>27</v>
      </c>
      <c r="B42" s="24">
        <f t="shared" si="3"/>
        <v>7.7096278664392742E-11</v>
      </c>
      <c r="C42" s="18">
        <f t="shared" si="0"/>
        <v>2.4747905451270072E-12</v>
      </c>
      <c r="D42" s="25">
        <f t="shared" si="1"/>
        <v>-2.4747905451270072E-12</v>
      </c>
      <c r="E42" s="26">
        <f t="shared" si="2"/>
        <v>0</v>
      </c>
      <c r="F42" s="11"/>
      <c r="G42" s="11"/>
      <c r="H42" s="11"/>
    </row>
    <row r="43" spans="1:8" x14ac:dyDescent="0.25">
      <c r="A43" s="15">
        <v>28</v>
      </c>
      <c r="B43" s="24">
        <f t="shared" si="3"/>
        <v>7.957106920951975E-11</v>
      </c>
      <c r="C43" s="18">
        <f t="shared" si="0"/>
        <v>2.5542313216255842E-12</v>
      </c>
      <c r="D43" s="25">
        <f t="shared" si="1"/>
        <v>-2.5542313216255842E-12</v>
      </c>
      <c r="E43" s="26">
        <f t="shared" si="2"/>
        <v>0</v>
      </c>
      <c r="F43" s="11"/>
      <c r="G43" s="11"/>
      <c r="H43" s="11"/>
    </row>
    <row r="44" spans="1:8" x14ac:dyDescent="0.25">
      <c r="A44" s="15">
        <v>29</v>
      </c>
      <c r="B44" s="24">
        <f t="shared" si="3"/>
        <v>8.2125300531145331E-11</v>
      </c>
      <c r="C44" s="18">
        <f t="shared" si="0"/>
        <v>2.6362221470497653E-12</v>
      </c>
      <c r="D44" s="25">
        <f t="shared" si="1"/>
        <v>-2.6362221470497653E-12</v>
      </c>
      <c r="E44" s="26">
        <f t="shared" si="2"/>
        <v>0</v>
      </c>
      <c r="F44" s="11"/>
      <c r="G44" s="11"/>
      <c r="H44" s="11"/>
    </row>
    <row r="45" spans="1:8" x14ac:dyDescent="0.25">
      <c r="A45" s="15">
        <v>30</v>
      </c>
      <c r="B45" s="24">
        <f t="shared" si="3"/>
        <v>8.4761522678195096E-11</v>
      </c>
      <c r="C45" s="18">
        <f t="shared" si="0"/>
        <v>2.720844877970063E-12</v>
      </c>
      <c r="D45" s="25">
        <f t="shared" si="1"/>
        <v>-2.720844877970063E-12</v>
      </c>
      <c r="E45" s="26">
        <f t="shared" si="2"/>
        <v>0</v>
      </c>
      <c r="F45" s="11"/>
      <c r="G45" s="11"/>
      <c r="H45" s="11"/>
    </row>
    <row r="46" spans="1:8" x14ac:dyDescent="0.25">
      <c r="A46" s="14"/>
      <c r="B46" s="24">
        <f t="shared" si="3"/>
        <v>8.7482367556165154E-11</v>
      </c>
      <c r="C46" s="18"/>
      <c r="D46" s="25"/>
      <c r="E46" s="26"/>
      <c r="F46" s="11"/>
      <c r="G46" s="11"/>
      <c r="H46" s="11"/>
    </row>
    <row r="47" spans="1:8" x14ac:dyDescent="0.25">
      <c r="A47" s="14"/>
      <c r="B47" s="11"/>
      <c r="C47" s="11"/>
      <c r="D47" s="11"/>
      <c r="E47" s="11"/>
      <c r="F47" s="11"/>
      <c r="G47" s="11"/>
      <c r="H47" s="11"/>
    </row>
    <row r="48" spans="1:8" ht="15.6" x14ac:dyDescent="0.35">
      <c r="A48" s="19" t="s">
        <v>37</v>
      </c>
      <c r="B48" s="15" t="s">
        <v>42</v>
      </c>
      <c r="C48" s="11"/>
      <c r="D48" s="11"/>
      <c r="E48" s="11"/>
      <c r="F48" s="11"/>
      <c r="G48" s="11"/>
      <c r="H48" s="11"/>
    </row>
    <row r="49" spans="1:8" x14ac:dyDescent="0.25">
      <c r="A49" s="15">
        <v>1</v>
      </c>
      <c r="B49" s="28">
        <f t="shared" ref="B49:B79" si="4">B16*B$9*(B$4+B$5+B$6)</f>
        <v>173.88800000000001</v>
      </c>
      <c r="C49" s="11"/>
      <c r="D49" s="11"/>
      <c r="E49" s="11"/>
      <c r="F49" s="11"/>
      <c r="G49" s="11"/>
      <c r="H49" s="11"/>
    </row>
    <row r="50" spans="1:8" x14ac:dyDescent="0.25">
      <c r="A50" s="15">
        <v>2</v>
      </c>
      <c r="B50" s="28">
        <f t="shared" si="4"/>
        <v>154.47842815638202</v>
      </c>
      <c r="C50" s="11"/>
      <c r="D50" s="11"/>
      <c r="E50" s="11"/>
      <c r="F50" s="11"/>
      <c r="G50" s="11"/>
      <c r="H50" s="11"/>
    </row>
    <row r="51" spans="1:8" x14ac:dyDescent="0.25">
      <c r="A51" s="15">
        <v>3</v>
      </c>
      <c r="B51" s="28">
        <f t="shared" si="4"/>
        <v>134.44580905658387</v>
      </c>
      <c r="C51" s="19"/>
      <c r="D51" s="11"/>
      <c r="E51" s="11"/>
      <c r="F51" s="11"/>
      <c r="G51" s="11"/>
      <c r="H51" s="11"/>
    </row>
    <row r="52" spans="1:8" x14ac:dyDescent="0.25">
      <c r="A52" s="15">
        <v>4</v>
      </c>
      <c r="B52" s="28">
        <f t="shared" si="4"/>
        <v>113.77014288368221</v>
      </c>
      <c r="C52" s="11"/>
      <c r="D52" s="11"/>
      <c r="E52" s="11"/>
      <c r="F52" s="11"/>
      <c r="G52" s="11"/>
      <c r="H52" s="11"/>
    </row>
    <row r="53" spans="1:8" x14ac:dyDescent="0.25">
      <c r="A53" s="15">
        <v>5</v>
      </c>
      <c r="B53" s="28">
        <f t="shared" si="4"/>
        <v>92.430787826630393</v>
      </c>
      <c r="C53" s="11"/>
      <c r="D53" s="11"/>
      <c r="E53" s="11"/>
      <c r="F53" s="11"/>
      <c r="G53" s="11"/>
      <c r="H53" s="11"/>
    </row>
    <row r="54" spans="1:8" x14ac:dyDescent="0.25">
      <c r="A54" s="15">
        <v>6</v>
      </c>
      <c r="B54" s="28">
        <f t="shared" si="4"/>
        <v>70.406439472247229</v>
      </c>
      <c r="C54" s="11"/>
      <c r="D54" s="11"/>
      <c r="E54" s="11"/>
      <c r="F54" s="11"/>
      <c r="G54" s="11"/>
      <c r="H54" s="11"/>
    </row>
    <row r="55" spans="1:8" x14ac:dyDescent="0.25">
      <c r="A55" s="15">
        <v>7</v>
      </c>
      <c r="B55" s="28">
        <f t="shared" si="4"/>
        <v>47.67510953568835</v>
      </c>
      <c r="C55" s="11"/>
      <c r="D55" s="11"/>
      <c r="E55" s="11"/>
      <c r="F55" s="11"/>
      <c r="G55" s="11"/>
      <c r="H55" s="11"/>
    </row>
    <row r="56" spans="1:8" x14ac:dyDescent="0.25">
      <c r="A56" s="15">
        <v>8</v>
      </c>
      <c r="B56" s="28">
        <f t="shared" si="4"/>
        <v>24.214103908165942</v>
      </c>
      <c r="C56" s="11"/>
      <c r="D56" s="11"/>
      <c r="E56" s="11"/>
      <c r="F56" s="11"/>
      <c r="G56" s="11"/>
      <c r="H56" s="11"/>
    </row>
    <row r="57" spans="1:8" x14ac:dyDescent="0.25">
      <c r="A57" s="15">
        <v>9</v>
      </c>
      <c r="B57" s="28">
        <f t="shared" si="4"/>
        <v>5.9306330513209106E-14</v>
      </c>
      <c r="C57" s="11"/>
      <c r="D57" s="11"/>
      <c r="E57" s="11"/>
      <c r="F57" s="11"/>
      <c r="G57" s="11"/>
      <c r="H57" s="11"/>
    </row>
    <row r="58" spans="1:8" x14ac:dyDescent="0.25">
      <c r="A58" s="15">
        <v>10</v>
      </c>
      <c r="B58" s="28">
        <f t="shared" si="4"/>
        <v>6.121006372268313E-14</v>
      </c>
      <c r="C58" s="11"/>
      <c r="D58" s="11"/>
      <c r="E58" s="11"/>
      <c r="F58" s="11"/>
      <c r="G58" s="11"/>
      <c r="H58" s="11"/>
    </row>
    <row r="59" spans="1:8" x14ac:dyDescent="0.25">
      <c r="A59" s="15">
        <v>11</v>
      </c>
      <c r="B59" s="28">
        <f t="shared" si="4"/>
        <v>6.3174906768181249E-14</v>
      </c>
      <c r="C59" s="11"/>
      <c r="D59" s="11"/>
      <c r="E59" s="11"/>
      <c r="F59" s="11"/>
      <c r="G59" s="11"/>
      <c r="H59" s="11"/>
    </row>
    <row r="60" spans="1:8" x14ac:dyDescent="0.25">
      <c r="A60" s="15">
        <v>12</v>
      </c>
      <c r="B60" s="28">
        <f t="shared" si="4"/>
        <v>6.5202821275439878E-14</v>
      </c>
      <c r="C60" s="11"/>
      <c r="D60" s="11"/>
      <c r="E60" s="11"/>
      <c r="F60" s="11"/>
      <c r="G60" s="11"/>
      <c r="H60" s="11"/>
    </row>
    <row r="61" spans="1:8" x14ac:dyDescent="0.25">
      <c r="A61" s="15">
        <v>13</v>
      </c>
      <c r="B61" s="28">
        <f t="shared" si="4"/>
        <v>6.7295831838381491E-14</v>
      </c>
      <c r="C61" s="11"/>
      <c r="D61" s="11"/>
      <c r="E61" s="11"/>
      <c r="F61" s="11"/>
      <c r="G61" s="11"/>
      <c r="H61" s="11"/>
    </row>
    <row r="62" spans="1:8" x14ac:dyDescent="0.25">
      <c r="A62" s="15">
        <v>14</v>
      </c>
      <c r="B62" s="28">
        <f t="shared" si="4"/>
        <v>6.9456028040393538E-14</v>
      </c>
      <c r="C62" s="11"/>
      <c r="D62" s="11"/>
      <c r="E62" s="11"/>
      <c r="F62" s="11"/>
      <c r="G62" s="11"/>
      <c r="H62" s="11"/>
    </row>
    <row r="63" spans="1:8" x14ac:dyDescent="0.25">
      <c r="A63" s="15">
        <v>15</v>
      </c>
      <c r="B63" s="28">
        <f t="shared" si="4"/>
        <v>7.1685566540490181E-14</v>
      </c>
      <c r="C63" s="11"/>
      <c r="D63" s="11"/>
      <c r="E63" s="11"/>
      <c r="F63" s="11"/>
      <c r="G63" s="11"/>
      <c r="H63" s="11"/>
    </row>
    <row r="64" spans="1:8" x14ac:dyDescent="0.25">
      <c r="A64" s="15">
        <v>16</v>
      </c>
      <c r="B64" s="28">
        <f t="shared" si="4"/>
        <v>7.3986673226439905E-14</v>
      </c>
      <c r="C64" s="11"/>
      <c r="D64" s="11"/>
      <c r="E64" s="11"/>
      <c r="F64" s="11"/>
      <c r="G64" s="11"/>
      <c r="H64" s="11"/>
    </row>
    <row r="65" spans="1:8" x14ac:dyDescent="0.25">
      <c r="A65" s="15">
        <v>17</v>
      </c>
      <c r="B65" s="28">
        <f t="shared" si="4"/>
        <v>7.6361645437008636E-14</v>
      </c>
      <c r="C65" s="11"/>
      <c r="D65" s="11"/>
      <c r="E65" s="11"/>
      <c r="F65" s="11"/>
      <c r="G65" s="11"/>
      <c r="H65" s="11"/>
    </row>
    <row r="66" spans="1:8" x14ac:dyDescent="0.25">
      <c r="A66" s="15">
        <v>18</v>
      </c>
      <c r="B66" s="28">
        <f t="shared" si="4"/>
        <v>7.8812854255536607E-14</v>
      </c>
      <c r="C66" s="11"/>
      <c r="D66" s="11"/>
      <c r="E66" s="11"/>
      <c r="F66" s="11"/>
      <c r="G66" s="11"/>
      <c r="H66" s="11"/>
    </row>
    <row r="67" spans="1:8" x14ac:dyDescent="0.25">
      <c r="A67" s="15">
        <v>19</v>
      </c>
      <c r="B67" s="28">
        <f t="shared" si="4"/>
        <v>8.1342746877139345E-14</v>
      </c>
      <c r="C67" s="11"/>
      <c r="D67" s="11"/>
      <c r="E67" s="11"/>
      <c r="F67" s="11"/>
      <c r="G67" s="11"/>
      <c r="H67" s="11"/>
    </row>
    <row r="68" spans="1:8" x14ac:dyDescent="0.25">
      <c r="A68" s="15">
        <v>20</v>
      </c>
      <c r="B68" s="28">
        <f t="shared" si="4"/>
        <v>8.395384905189553E-14</v>
      </c>
      <c r="C68" s="11"/>
      <c r="D68" s="11"/>
      <c r="E68" s="11"/>
      <c r="F68" s="11"/>
      <c r="G68" s="11"/>
      <c r="H68" s="11"/>
    </row>
    <row r="69" spans="1:8" x14ac:dyDescent="0.25">
      <c r="A69" s="15">
        <v>21</v>
      </c>
      <c r="B69" s="28">
        <f t="shared" si="4"/>
        <v>8.6648767606461373E-14</v>
      </c>
      <c r="C69" s="11"/>
      <c r="D69" s="11"/>
      <c r="E69" s="11"/>
      <c r="F69" s="11"/>
      <c r="G69" s="11"/>
      <c r="H69" s="11"/>
    </row>
    <row r="70" spans="1:8" x14ac:dyDescent="0.25">
      <c r="A70" s="15">
        <v>22</v>
      </c>
      <c r="B70" s="28">
        <f t="shared" si="4"/>
        <v>8.9430193046628786E-14</v>
      </c>
      <c r="C70" s="11"/>
      <c r="D70" s="11"/>
      <c r="E70" s="11"/>
      <c r="F70" s="11"/>
      <c r="G70" s="11"/>
      <c r="H70" s="11"/>
    </row>
    <row r="71" spans="1:8" x14ac:dyDescent="0.25">
      <c r="A71" s="15">
        <v>23</v>
      </c>
      <c r="B71" s="28">
        <f t="shared" si="4"/>
        <v>9.2300902243425572E-14</v>
      </c>
      <c r="C71" s="11"/>
      <c r="D71" s="11"/>
      <c r="E71" s="11"/>
      <c r="F71" s="11"/>
      <c r="G71" s="11"/>
      <c r="H71" s="11"/>
    </row>
    <row r="72" spans="1:8" x14ac:dyDescent="0.25">
      <c r="A72" s="15">
        <v>24</v>
      </c>
      <c r="B72" s="28">
        <f t="shared" si="4"/>
        <v>9.5263761205439537E-14</v>
      </c>
      <c r="C72" s="11"/>
      <c r="D72" s="11"/>
      <c r="E72" s="11"/>
      <c r="F72" s="11"/>
      <c r="G72" s="11"/>
      <c r="H72" s="11"/>
    </row>
    <row r="73" spans="1:8" x14ac:dyDescent="0.25">
      <c r="A73" s="15">
        <v>25</v>
      </c>
      <c r="B73" s="28">
        <f t="shared" si="4"/>
        <v>9.8321727940134137E-14</v>
      </c>
      <c r="C73" s="11"/>
      <c r="D73" s="11"/>
      <c r="E73" s="11"/>
      <c r="F73" s="11"/>
      <c r="G73" s="11"/>
      <c r="H73" s="11"/>
    </row>
    <row r="74" spans="1:8" x14ac:dyDescent="0.25">
      <c r="A74" s="15">
        <v>26</v>
      </c>
      <c r="B74" s="28">
        <f t="shared" si="4"/>
        <v>1.0147785540701244E-13</v>
      </c>
      <c r="C74" s="11"/>
      <c r="D74" s="11"/>
      <c r="E74" s="11"/>
      <c r="F74" s="11"/>
      <c r="G74" s="11"/>
      <c r="H74" s="11"/>
    </row>
    <row r="75" spans="1:8" x14ac:dyDescent="0.25">
      <c r="A75" s="15">
        <v>27</v>
      </c>
      <c r="B75" s="28">
        <f t="shared" si="4"/>
        <v>1.0473529456557755E-13</v>
      </c>
      <c r="C75" s="11"/>
      <c r="D75" s="11"/>
      <c r="E75" s="11"/>
      <c r="F75" s="11"/>
      <c r="G75" s="11"/>
      <c r="H75" s="11"/>
    </row>
    <row r="76" spans="1:8" x14ac:dyDescent="0.25">
      <c r="A76" s="15">
        <v>28</v>
      </c>
      <c r="B76" s="28">
        <f t="shared" si="4"/>
        <v>1.080972975211326E-13</v>
      </c>
      <c r="C76" s="11"/>
      <c r="D76" s="11"/>
      <c r="E76" s="11"/>
      <c r="F76" s="11"/>
      <c r="G76" s="11"/>
      <c r="H76" s="11"/>
    </row>
    <row r="77" spans="1:8" x14ac:dyDescent="0.25">
      <c r="A77" s="15">
        <v>29</v>
      </c>
      <c r="B77" s="28">
        <f t="shared" si="4"/>
        <v>1.1156722077156095E-13</v>
      </c>
      <c r="C77" s="11"/>
      <c r="D77" s="11"/>
      <c r="E77" s="11"/>
      <c r="F77" s="11"/>
      <c r="G77" s="11"/>
      <c r="H77" s="11"/>
    </row>
    <row r="78" spans="1:8" x14ac:dyDescent="0.25">
      <c r="A78" s="15">
        <v>30</v>
      </c>
      <c r="B78" s="28">
        <f t="shared" si="4"/>
        <v>1.1514852855832806E-13</v>
      </c>
      <c r="C78" s="11"/>
      <c r="D78" s="11"/>
      <c r="E78" s="11"/>
      <c r="F78" s="11"/>
      <c r="G78" s="11"/>
      <c r="H78" s="11"/>
    </row>
    <row r="79" spans="1:8" x14ac:dyDescent="0.25">
      <c r="A79" s="14"/>
      <c r="B79" s="28">
        <f t="shared" si="4"/>
        <v>1.1884479632505037E-13</v>
      </c>
      <c r="C79" s="11"/>
      <c r="D79" s="11"/>
      <c r="E79" s="11"/>
      <c r="F79" s="11"/>
      <c r="G79" s="11"/>
      <c r="H79" s="11"/>
    </row>
    <row r="80" spans="1:8" x14ac:dyDescent="0.25">
      <c r="A80" s="14"/>
      <c r="B80" s="11"/>
      <c r="C80" s="11"/>
      <c r="D80" s="11"/>
      <c r="E80" s="11"/>
      <c r="F80" s="11"/>
      <c r="G80" s="11"/>
      <c r="H80" s="11"/>
    </row>
    <row r="81" spans="1:8" x14ac:dyDescent="0.25">
      <c r="A81" s="14"/>
      <c r="B81" s="11"/>
      <c r="C81" s="11"/>
      <c r="D81" s="11"/>
      <c r="E81" s="11"/>
      <c r="F81" s="11"/>
      <c r="G81" s="11"/>
      <c r="H81" s="11"/>
    </row>
    <row r="82" spans="1:8" ht="18.600000000000001" thickBot="1" x14ac:dyDescent="0.45">
      <c r="A82" s="29" t="s">
        <v>43</v>
      </c>
      <c r="B82" s="28">
        <f>B49+(B50/(1+B$12)^(A50-A$49))+(B51/((1+B$12)^(A51-A$49)))+(B52/((1+B$12)^(A52-A$49)))+(B53/((1+B$12)^(A53-A$49)))+(B54/((1+B$12)^(A54-A$49)))+(B55/((1+B$12)^(A55-A$49)))+(B56/((1+B$12)^(A56-A$49)))+(B57/((1+B$12)^(A57-A$49)))+(B58/((1+B$12)^(A58-A$49)))+(B59/((1+B$12)^(A59-A$49)))+(B60/((1+B$12)^(A60-A$49)))+(B61/((1+B$12)^(A61-A$49)))+(B62/((1+B$12)^(A62-A$49)))+(B63/((1+B$12)^(A63-A$49)))+(B64/((1+B$12)^(A64-A$49)))+(B65/((1+B$12)^(A65-A$49)))+(B66/((1+B$12)^(A66-A$49)))+(B67/((1+B$12)^(A67-A$49)))+(B68/((1+B$12)^(A68-A$49)+(B69/((1+B$12)^(A69-A$49)+(B70/((1+B$12)^(A70-A$49)+(B71/((1+B$12)^(A71-A$49)+(B72/((1+B$12)^(A72-A$49)+(B73/((1+B$12)^(A73-A$49)+(B74/((1+B$12)^(A74-A$49)+(B75/((1+B$12)^(A75-A$49)+(B76/((1+B$12)^(A76-A$49)+(B77/((1+B$12)^(A77-A$49)+(B78/((1+B$12)^(A78-A$49)))))))))))))))))))))))</f>
        <v>753.68317916062051</v>
      </c>
      <c r="C82" s="11"/>
      <c r="D82" s="11"/>
      <c r="E82" s="11"/>
      <c r="F82" s="11"/>
      <c r="G82" s="11"/>
      <c r="H82" s="11"/>
    </row>
    <row r="83" spans="1:8" ht="13.8" thickBot="1" x14ac:dyDescent="0.3">
      <c r="A83" s="15" t="s">
        <v>44</v>
      </c>
      <c r="B83" s="30">
        <v>0</v>
      </c>
      <c r="C83" s="11"/>
      <c r="D83" s="11"/>
      <c r="E83" s="11"/>
      <c r="F83" s="11"/>
      <c r="G83" s="11"/>
      <c r="H83" s="11"/>
    </row>
    <row r="84" spans="1:8" x14ac:dyDescent="0.25">
      <c r="A84" s="14"/>
      <c r="B84" s="11"/>
      <c r="C84" s="11"/>
      <c r="D84" s="11"/>
      <c r="E84" s="11"/>
      <c r="F84" s="11"/>
      <c r="G84" s="11"/>
      <c r="H84" s="11"/>
    </row>
    <row r="85" spans="1:8" x14ac:dyDescent="0.25">
      <c r="A85" s="31" t="s">
        <v>45</v>
      </c>
      <c r="B85" s="32">
        <f>B82-B83</f>
        <v>753.68317916062051</v>
      </c>
      <c r="C85" s="11"/>
      <c r="D85" s="11"/>
      <c r="E85" s="11"/>
      <c r="F85" s="11"/>
      <c r="G85" s="11"/>
      <c r="H85" s="11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40994-685A-4049-9D62-278E74324ADB}">
  <dimension ref="A1:A7"/>
  <sheetViews>
    <sheetView workbookViewId="0">
      <selection activeCell="C18" sqref="C18"/>
    </sheetView>
  </sheetViews>
  <sheetFormatPr defaultRowHeight="13.2" x14ac:dyDescent="0.25"/>
  <cols>
    <col min="1" max="1" width="10.5546875" bestFit="1" customWidth="1"/>
  </cols>
  <sheetData>
    <row r="1" spans="1:1" x14ac:dyDescent="0.25">
      <c r="A1" t="s">
        <v>13</v>
      </c>
    </row>
    <row r="2" spans="1:1" x14ac:dyDescent="0.25">
      <c r="A2">
        <v>12</v>
      </c>
    </row>
    <row r="3" spans="1:1" x14ac:dyDescent="0.25">
      <c r="A3">
        <v>4</v>
      </c>
    </row>
    <row r="4" spans="1:1" x14ac:dyDescent="0.25">
      <c r="A4">
        <v>3</v>
      </c>
    </row>
    <row r="5" spans="1:1" x14ac:dyDescent="0.25">
      <c r="A5">
        <v>2</v>
      </c>
    </row>
    <row r="6" spans="1:1" x14ac:dyDescent="0.25">
      <c r="A6">
        <v>1</v>
      </c>
    </row>
    <row r="7" spans="1:1" x14ac:dyDescent="0.25">
      <c r="A7">
        <v>0</v>
      </c>
    </row>
  </sheetData>
  <dataValidations count="1">
    <dataValidation type="whole" operator="lessThanOrEqual" allowBlank="1" showInputMessage="1" showErrorMessage="1" sqref="B12:B13" xr:uid="{6E3A05E9-469A-4E8C-8681-237D70D34F89}">
      <formula1>48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FNCINVLIQ_prospetto riassuntivo</vt:lpstr>
      <vt:lpstr>FNCINVLIQ_contributo interessi</vt:lpstr>
      <vt:lpstr>FNCINVLIQ_ESL riassicurazione</vt:lpstr>
      <vt:lpstr>Frequenza rate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Chiara Gusella</dc:creator>
  <cp:lastModifiedBy>Leopardi Livia</cp:lastModifiedBy>
  <cp:lastPrinted>2025-09-23T08:01:58Z</cp:lastPrinted>
  <dcterms:created xsi:type="dcterms:W3CDTF">2020-04-27T16:01:26Z</dcterms:created>
  <dcterms:modified xsi:type="dcterms:W3CDTF">2025-10-02T07:44:36Z</dcterms:modified>
</cp:coreProperties>
</file>