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regionemarche-my.sharepoint.com/personal/elena_berloni_regione_marche_it/Documents/Documenti/REGIONE MARCHE/Strumenti finanziari/SRD20 - Agricoltra/Foglio calcolo ESL/"/>
    </mc:Choice>
  </mc:AlternateContent>
  <xr:revisionPtr revIDLastSave="40" documentId="8_{34FD5CDD-89E2-4332-958F-8D8AAC9245DD}" xr6:coauthVersionLast="47" xr6:coauthVersionMax="47" xr10:uidLastSave="{E12B9FD8-6664-43A5-AFC1-14AB7A2898BA}"/>
  <workbookProtection workbookAlgorithmName="SHA-512" workbookHashValue="bq+/oGXwsAAYngH5y3re7IiyxIuu9uNVXPr+/V0OS47bXDwXp70Ox4Q26miQzIGqPvh1EgxxIw9JiGh5HnozJA==" workbookSaltValue="JRqA/D6E2wilUj8ubMO7lw==" workbookSpinCount="100000" lockStructure="1"/>
  <bookViews>
    <workbookView xWindow="-108" yWindow="-108" windowWidth="23256" windowHeight="12456" tabRatio="847" xr2:uid="{00000000-000D-0000-FFFF-FFFF00000000}"/>
  </bookViews>
  <sheets>
    <sheet name="FNC-AGRI_prospetto riassuntivo" sheetId="24" r:id="rId1"/>
    <sheet name="FNC-AGRI_contributo interessi" sheetId="20" r:id="rId2"/>
    <sheet name="FNC-AGRI_ESL riassicurazione" sheetId="21" r:id="rId3"/>
    <sheet name="Massimali" sheetId="22" r:id="rId4"/>
    <sheet name="Frequenza rate" sheetId="10"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3" i="24" l="1"/>
  <c r="J43" i="24"/>
  <c r="I43" i="24"/>
  <c r="H43" i="24"/>
  <c r="G43" i="24"/>
  <c r="F43" i="24"/>
  <c r="E43" i="24"/>
  <c r="C43" i="24"/>
  <c r="B43" i="24"/>
  <c r="L19" i="24" l="1"/>
  <c r="L15" i="24"/>
  <c r="E14" i="24"/>
  <c r="E16" i="24" s="1"/>
  <c r="E18" i="24" s="1"/>
  <c r="F14" i="24"/>
  <c r="F16" i="24" s="1"/>
  <c r="F18" i="24" s="1"/>
  <c r="G14" i="24"/>
  <c r="G16" i="24" s="1"/>
  <c r="G18" i="24" s="1"/>
  <c r="H14" i="24"/>
  <c r="H16" i="24" s="1"/>
  <c r="H18" i="24" s="1"/>
  <c r="I14" i="24"/>
  <c r="I16" i="24" s="1"/>
  <c r="I18" i="24" s="1"/>
  <c r="J14" i="24"/>
  <c r="J16" i="24" s="1"/>
  <c r="J18" i="24" s="1"/>
  <c r="K14" i="24"/>
  <c r="K16" i="24" s="1"/>
  <c r="K18" i="24" s="1"/>
  <c r="L10" i="24"/>
  <c r="D43" i="24"/>
  <c r="L46" i="24"/>
  <c r="B12" i="21"/>
  <c r="B9" i="21"/>
  <c r="B4" i="21"/>
  <c r="L22" i="24"/>
  <c r="B11" i="21" s="1"/>
  <c r="B8" i="21" l="1"/>
  <c r="L36" i="24"/>
  <c r="L47" i="24" s="1"/>
  <c r="L51" i="24" s="1"/>
  <c r="B14" i="24" l="1"/>
  <c r="L30" i="24"/>
  <c r="L27" i="24"/>
  <c r="A3" i="20" s="1"/>
  <c r="F3" i="20" s="1"/>
  <c r="L24" i="24"/>
  <c r="L32" i="24" s="1"/>
  <c r="L23" i="24"/>
  <c r="L31" i="24" s="1"/>
  <c r="D14" i="24"/>
  <c r="C14" i="24"/>
  <c r="L14" i="24" l="1"/>
  <c r="B16" i="24"/>
  <c r="D16" i="24"/>
  <c r="C16" i="24"/>
  <c r="M3" i="20"/>
  <c r="H3" i="20"/>
  <c r="A4" i="20"/>
  <c r="F4" i="20" s="1"/>
  <c r="L17" i="24" l="1"/>
  <c r="L16" i="24"/>
  <c r="D18" i="24"/>
  <c r="C18" i="24"/>
  <c r="H4" i="20"/>
  <c r="A5" i="20"/>
  <c r="F5" i="20" s="1"/>
  <c r="B18" i="24"/>
  <c r="L18" i="24" l="1"/>
  <c r="A6" i="20"/>
  <c r="F6" i="20" s="1"/>
  <c r="H5" i="20"/>
  <c r="A7" i="20" l="1"/>
  <c r="F7" i="20" s="1"/>
  <c r="H6" i="20"/>
  <c r="A8" i="20" l="1"/>
  <c r="F8" i="20" s="1"/>
  <c r="H7" i="20"/>
  <c r="A9" i="20" l="1"/>
  <c r="F9" i="20" s="1"/>
  <c r="H8" i="20"/>
  <c r="B16" i="21"/>
  <c r="A10" i="20" l="1"/>
  <c r="F10" i="20" s="1"/>
  <c r="H9" i="20"/>
  <c r="B10" i="21"/>
  <c r="B14" i="21"/>
  <c r="E17" i="21" s="1"/>
  <c r="E42" i="21"/>
  <c r="E32" i="21"/>
  <c r="E40" i="21"/>
  <c r="E33" i="21"/>
  <c r="E37" i="21"/>
  <c r="E45" i="21"/>
  <c r="E30" i="21"/>
  <c r="E34" i="21"/>
  <c r="E38" i="21"/>
  <c r="E28" i="21"/>
  <c r="E36" i="21"/>
  <c r="E44" i="21"/>
  <c r="E29" i="21"/>
  <c r="E41" i="21"/>
  <c r="E27" i="21"/>
  <c r="E31" i="21"/>
  <c r="E35" i="21"/>
  <c r="E39" i="21"/>
  <c r="E43" i="21"/>
  <c r="B49" i="21"/>
  <c r="C16" i="21"/>
  <c r="E26" i="21" l="1"/>
  <c r="A11" i="20"/>
  <c r="F11" i="20" s="1"/>
  <c r="H10" i="20"/>
  <c r="E24" i="21"/>
  <c r="E25" i="21"/>
  <c r="E16" i="21"/>
  <c r="D16" i="21" s="1"/>
  <c r="B17" i="21" s="1"/>
  <c r="C17" i="21" s="1"/>
  <c r="D17" i="21" s="1"/>
  <c r="B18" i="21" s="1"/>
  <c r="E23" i="21"/>
  <c r="E22" i="21"/>
  <c r="E21" i="21"/>
  <c r="E20" i="21"/>
  <c r="E19" i="21"/>
  <c r="E18" i="21"/>
  <c r="A12" i="20" l="1"/>
  <c r="F12" i="20" s="1"/>
  <c r="H11" i="20"/>
  <c r="B50" i="21"/>
  <c r="B51" i="21"/>
  <c r="C18" i="21"/>
  <c r="D18" i="21" s="1"/>
  <c r="B19" i="21" s="1"/>
  <c r="A13" i="20" l="1"/>
  <c r="F13" i="20" s="1"/>
  <c r="H12" i="20"/>
  <c r="C19" i="21"/>
  <c r="D19" i="21" s="1"/>
  <c r="B20" i="21" s="1"/>
  <c r="B52" i="21"/>
  <c r="A14" i="20" l="1"/>
  <c r="F14" i="20" s="1"/>
  <c r="H13" i="20"/>
  <c r="B53" i="21"/>
  <c r="C20" i="21"/>
  <c r="D20" i="21" s="1"/>
  <c r="B21" i="21" s="1"/>
  <c r="A15" i="20" l="1"/>
  <c r="F15" i="20" s="1"/>
  <c r="H14" i="20"/>
  <c r="B54" i="21"/>
  <c r="C21" i="21"/>
  <c r="D21" i="21" s="1"/>
  <c r="B22" i="21" s="1"/>
  <c r="A16" i="20" l="1"/>
  <c r="F16" i="20" s="1"/>
  <c r="H15" i="20"/>
  <c r="B55" i="21"/>
  <c r="C22" i="21"/>
  <c r="D22" i="21" s="1"/>
  <c r="B23" i="21" s="1"/>
  <c r="A17" i="20" l="1"/>
  <c r="F17" i="20" s="1"/>
  <c r="H16" i="20"/>
  <c r="C23" i="21"/>
  <c r="D23" i="21" s="1"/>
  <c r="B24" i="21" s="1"/>
  <c r="B56" i="21"/>
  <c r="A18" i="20" l="1"/>
  <c r="F18" i="20" s="1"/>
  <c r="H17" i="20"/>
  <c r="B57" i="21"/>
  <c r="C24" i="21"/>
  <c r="D24" i="21" s="1"/>
  <c r="B25" i="21" s="1"/>
  <c r="A19" i="20" l="1"/>
  <c r="F19" i="20" s="1"/>
  <c r="H18" i="20"/>
  <c r="B58" i="21"/>
  <c r="C25" i="21"/>
  <c r="D25" i="21" s="1"/>
  <c r="B26" i="21" s="1"/>
  <c r="A20" i="20" l="1"/>
  <c r="F20" i="20" s="1"/>
  <c r="H19" i="20"/>
  <c r="B59" i="21"/>
  <c r="C26" i="21"/>
  <c r="D26" i="21" s="1"/>
  <c r="B27" i="21" s="1"/>
  <c r="A21" i="20" l="1"/>
  <c r="F21" i="20" s="1"/>
  <c r="H20" i="20"/>
  <c r="C27" i="21"/>
  <c r="D27" i="21" s="1"/>
  <c r="B28" i="21" s="1"/>
  <c r="B60" i="21"/>
  <c r="A22" i="20" l="1"/>
  <c r="F22" i="20" s="1"/>
  <c r="H21" i="20"/>
  <c r="B61" i="21"/>
  <c r="C28" i="21"/>
  <c r="D28" i="21" s="1"/>
  <c r="B29" i="21" s="1"/>
  <c r="A23" i="20" l="1"/>
  <c r="F23" i="20" s="1"/>
  <c r="H22" i="20"/>
  <c r="B62" i="21"/>
  <c r="C29" i="21"/>
  <c r="D29" i="21" s="1"/>
  <c r="B30" i="21" s="1"/>
  <c r="A24" i="20" l="1"/>
  <c r="F24" i="20" s="1"/>
  <c r="H23" i="20"/>
  <c r="B63" i="21"/>
  <c r="C30" i="21"/>
  <c r="D30" i="21" s="1"/>
  <c r="B31" i="21" s="1"/>
  <c r="A25" i="20" l="1"/>
  <c r="F25" i="20" s="1"/>
  <c r="H24" i="20"/>
  <c r="C31" i="21"/>
  <c r="D31" i="21" s="1"/>
  <c r="B32" i="21" s="1"/>
  <c r="B64" i="21"/>
  <c r="A26" i="20" l="1"/>
  <c r="H25" i="20"/>
  <c r="B65" i="21"/>
  <c r="C32" i="21"/>
  <c r="D32" i="21" s="1"/>
  <c r="B33" i="21" s="1"/>
  <c r="H26" i="20" l="1"/>
  <c r="F26" i="20"/>
  <c r="B66" i="21"/>
  <c r="C33" i="21"/>
  <c r="D33" i="21" s="1"/>
  <c r="B34" i="21" s="1"/>
  <c r="B67" i="21" l="1"/>
  <c r="C34" i="21"/>
  <c r="D34" i="21" s="1"/>
  <c r="B35" i="21" s="1"/>
  <c r="C35" i="21" l="1"/>
  <c r="D35" i="21" s="1"/>
  <c r="B36" i="21" s="1"/>
  <c r="B68" i="21"/>
  <c r="B69" i="21" l="1"/>
  <c r="C36" i="21"/>
  <c r="D36" i="21" s="1"/>
  <c r="B37" i="21" s="1"/>
  <c r="B70" i="21" l="1"/>
  <c r="C37" i="21"/>
  <c r="D37" i="21" s="1"/>
  <c r="B38" i="21" s="1"/>
  <c r="B71" i="21" l="1"/>
  <c r="C38" i="21"/>
  <c r="D38" i="21" s="1"/>
  <c r="B39" i="21" s="1"/>
  <c r="C39" i="21" l="1"/>
  <c r="D39" i="21" s="1"/>
  <c r="B40" i="21" s="1"/>
  <c r="B72" i="21"/>
  <c r="B73" i="21" l="1"/>
  <c r="C40" i="21"/>
  <c r="D40" i="21" s="1"/>
  <c r="B41" i="21" s="1"/>
  <c r="B74" i="21" l="1"/>
  <c r="C41" i="21"/>
  <c r="D41" i="21" s="1"/>
  <c r="B42" i="21" s="1"/>
  <c r="B75" i="21" l="1"/>
  <c r="C42" i="21"/>
  <c r="D42" i="21" s="1"/>
  <c r="B43" i="21" s="1"/>
  <c r="C43" i="21" l="1"/>
  <c r="D43" i="21" s="1"/>
  <c r="B44" i="21" s="1"/>
  <c r="B76" i="21"/>
  <c r="B77" i="21" l="1"/>
  <c r="C44" i="21"/>
  <c r="D44" i="21" s="1"/>
  <c r="B45" i="21" s="1"/>
  <c r="B78" i="21" l="1"/>
  <c r="B82" i="21" s="1"/>
  <c r="B85" i="21" s="1"/>
  <c r="D1" i="21" s="1"/>
  <c r="L39" i="24" s="1"/>
  <c r="C45" i="21"/>
  <c r="D45" i="21" s="1"/>
  <c r="B46" i="21" s="1"/>
  <c r="B79" i="21" s="1"/>
  <c r="B3" i="20" l="1"/>
  <c r="G3" i="20" s="1"/>
  <c r="B4" i="20" l="1"/>
  <c r="G4" i="20" s="1"/>
  <c r="D3" i="20"/>
  <c r="D4" i="20" l="1"/>
  <c r="B5" i="20"/>
  <c r="G5" i="20" l="1"/>
  <c r="D5" i="20"/>
  <c r="B6" i="20"/>
  <c r="G6" i="20" l="1"/>
  <c r="D6" i="20"/>
  <c r="B7" i="20"/>
  <c r="G7" i="20" l="1"/>
  <c r="D7" i="20"/>
  <c r="B8" i="20"/>
  <c r="G8" i="20" l="1"/>
  <c r="D8" i="20"/>
  <c r="B9" i="20"/>
  <c r="G9" i="20" l="1"/>
  <c r="D9" i="20"/>
  <c r="B10" i="20"/>
  <c r="G10" i="20" l="1"/>
  <c r="D10" i="20"/>
  <c r="B11" i="20"/>
  <c r="G11" i="20" l="1"/>
  <c r="D11" i="20"/>
  <c r="B12" i="20"/>
  <c r="G12" i="20" l="1"/>
  <c r="D12" i="20"/>
  <c r="B13" i="20"/>
  <c r="G13" i="20" l="1"/>
  <c r="D13" i="20"/>
  <c r="B14" i="20"/>
  <c r="G14" i="20" l="1"/>
  <c r="D14" i="20"/>
  <c r="B15" i="20"/>
  <c r="G15" i="20" l="1"/>
  <c r="D15" i="20"/>
  <c r="B16" i="20"/>
  <c r="G16" i="20" l="1"/>
  <c r="D16" i="20"/>
  <c r="B17" i="20"/>
  <c r="G17" i="20" l="1"/>
  <c r="D17" i="20"/>
  <c r="B18" i="20"/>
  <c r="G18" i="20" l="1"/>
  <c r="D18" i="20"/>
  <c r="B19" i="20"/>
  <c r="G19" i="20" l="1"/>
  <c r="D19" i="20"/>
  <c r="B20" i="20"/>
  <c r="G20" i="20" l="1"/>
  <c r="D20" i="20"/>
  <c r="B21" i="20"/>
  <c r="G21" i="20" l="1"/>
  <c r="D21" i="20"/>
  <c r="B22" i="20"/>
  <c r="G22" i="20" l="1"/>
  <c r="D22" i="20"/>
  <c r="B23" i="20"/>
  <c r="G23" i="20" l="1"/>
  <c r="D23" i="20"/>
  <c r="B24" i="20"/>
  <c r="G24" i="20" l="1"/>
  <c r="D24" i="20"/>
  <c r="B25" i="20"/>
  <c r="G25" i="20" l="1"/>
  <c r="D25" i="20"/>
  <c r="B26" i="20"/>
  <c r="J3" i="20"/>
  <c r="Q3" i="20" l="1"/>
  <c r="K3" i="20" s="1"/>
  <c r="P3" i="20" s="1"/>
  <c r="J4" i="20"/>
  <c r="G26" i="20"/>
  <c r="D26" i="20"/>
  <c r="J5" i="20" l="1"/>
  <c r="Q4" i="20"/>
  <c r="M4" i="20" s="1"/>
  <c r="L3" i="20"/>
  <c r="N3" i="20" s="1"/>
  <c r="O3" i="20" s="1"/>
  <c r="J6" i="20" l="1"/>
  <c r="Q5" i="20"/>
  <c r="M5" i="20" s="1"/>
  <c r="K4" i="20"/>
  <c r="P4" i="20" s="1"/>
  <c r="J7" i="20" l="1"/>
  <c r="Q6" i="20"/>
  <c r="M6" i="20" s="1"/>
  <c r="L4" i="20"/>
  <c r="N4" i="20" s="1"/>
  <c r="O4" i="20" s="1"/>
  <c r="J8" i="20" l="1"/>
  <c r="Q7" i="20"/>
  <c r="M7" i="20" s="1"/>
  <c r="K5" i="20"/>
  <c r="J9" i="20" l="1"/>
  <c r="Q8" i="20"/>
  <c r="M8" i="20" s="1"/>
  <c r="P5" i="20"/>
  <c r="L5" i="20"/>
  <c r="N5" i="20" s="1"/>
  <c r="J10" i="20" l="1"/>
  <c r="Q9" i="20"/>
  <c r="M9" i="20" s="1"/>
  <c r="O5" i="20"/>
  <c r="K6" i="20" s="1"/>
  <c r="P6" i="20" s="1"/>
  <c r="L6" i="20" l="1"/>
  <c r="N6" i="20" s="1"/>
  <c r="O6" i="20" s="1"/>
  <c r="K7" i="20" s="1"/>
  <c r="P7" i="20" s="1"/>
  <c r="J11" i="20"/>
  <c r="Q10" i="20"/>
  <c r="M10" i="20" s="1"/>
  <c r="L7" i="20" l="1"/>
  <c r="N7" i="20" s="1"/>
  <c r="O7" i="20" s="1"/>
  <c r="K8" i="20" s="1"/>
  <c r="P8" i="20" s="1"/>
  <c r="J12" i="20"/>
  <c r="Q11" i="20"/>
  <c r="M11" i="20" s="1"/>
  <c r="L8" i="20" l="1"/>
  <c r="N8" i="20" s="1"/>
  <c r="O8" i="20" s="1"/>
  <c r="K9" i="20" s="1"/>
  <c r="P9" i="20" s="1"/>
  <c r="J13" i="20"/>
  <c r="Q12" i="20"/>
  <c r="M12" i="20" s="1"/>
  <c r="L9" i="20" l="1"/>
  <c r="N9" i="20" s="1"/>
  <c r="O9" i="20" s="1"/>
  <c r="K10" i="20" s="1"/>
  <c r="J14" i="20"/>
  <c r="Q13" i="20"/>
  <c r="M13" i="20" s="1"/>
  <c r="L10" i="20" l="1"/>
  <c r="N10" i="20" s="1"/>
  <c r="O10" i="20" s="1"/>
  <c r="K11" i="20" s="1"/>
  <c r="P11" i="20" s="1"/>
  <c r="P10" i="20"/>
  <c r="J15" i="20"/>
  <c r="Q14" i="20"/>
  <c r="M14" i="20" s="1"/>
  <c r="L11" i="20" l="1"/>
  <c r="N11" i="20" s="1"/>
  <c r="O11" i="20" s="1"/>
  <c r="K12" i="20" s="1"/>
  <c r="P12" i="20" s="1"/>
  <c r="J16" i="20"/>
  <c r="Q15" i="20"/>
  <c r="M15" i="20" s="1"/>
  <c r="L12" i="20" l="1"/>
  <c r="N12" i="20" s="1"/>
  <c r="O12" i="20" s="1"/>
  <c r="K13" i="20" s="1"/>
  <c r="P13" i="20" s="1"/>
  <c r="J17" i="20"/>
  <c r="Q16" i="20"/>
  <c r="M16" i="20" s="1"/>
  <c r="L13" i="20" l="1"/>
  <c r="N13" i="20" s="1"/>
  <c r="O13" i="20" s="1"/>
  <c r="K14" i="20" s="1"/>
  <c r="P14" i="20" s="1"/>
  <c r="J18" i="20"/>
  <c r="Q17" i="20"/>
  <c r="M17" i="20" s="1"/>
  <c r="L14" i="20" l="1"/>
  <c r="N14" i="20" s="1"/>
  <c r="O14" i="20" s="1"/>
  <c r="K15" i="20" s="1"/>
  <c r="P15" i="20" s="1"/>
  <c r="J19" i="20"/>
  <c r="Q18" i="20"/>
  <c r="M18" i="20" s="1"/>
  <c r="L15" i="20" l="1"/>
  <c r="N15" i="20" s="1"/>
  <c r="O15" i="20" s="1"/>
  <c r="K16" i="20" s="1"/>
  <c r="P16" i="20" s="1"/>
  <c r="J20" i="20"/>
  <c r="Q19" i="20"/>
  <c r="M19" i="20" s="1"/>
  <c r="L16" i="20" l="1"/>
  <c r="N16" i="20" s="1"/>
  <c r="O16" i="20" s="1"/>
  <c r="K17" i="20" s="1"/>
  <c r="P17" i="20" s="1"/>
  <c r="J21" i="20"/>
  <c r="Q20" i="20"/>
  <c r="M20" i="20" s="1"/>
  <c r="L17" i="20" l="1"/>
  <c r="N17" i="20" s="1"/>
  <c r="O17" i="20" s="1"/>
  <c r="K18" i="20" s="1"/>
  <c r="P18" i="20" s="1"/>
  <c r="J22" i="20"/>
  <c r="Q21" i="20"/>
  <c r="M21" i="20" s="1"/>
  <c r="L18" i="20" l="1"/>
  <c r="N18" i="20" s="1"/>
  <c r="O18" i="20" s="1"/>
  <c r="K19" i="20" s="1"/>
  <c r="P19" i="20" s="1"/>
  <c r="J23" i="20"/>
  <c r="Q22" i="20"/>
  <c r="M22" i="20" s="1"/>
  <c r="L19" i="20" l="1"/>
  <c r="N19" i="20" s="1"/>
  <c r="O19" i="20" s="1"/>
  <c r="K20" i="20" s="1"/>
  <c r="P20" i="20" s="1"/>
  <c r="J24" i="20"/>
  <c r="Q23" i="20"/>
  <c r="M23" i="20" s="1"/>
  <c r="L20" i="20" l="1"/>
  <c r="N20" i="20" s="1"/>
  <c r="O20" i="20" s="1"/>
  <c r="K21" i="20" s="1"/>
  <c r="P21" i="20" s="1"/>
  <c r="J25" i="20"/>
  <c r="Q24" i="20"/>
  <c r="M24" i="20" s="1"/>
  <c r="L21" i="20" l="1"/>
  <c r="N21" i="20" s="1"/>
  <c r="O21" i="20" s="1"/>
  <c r="K22" i="20" s="1"/>
  <c r="P22" i="20" s="1"/>
  <c r="J26" i="20"/>
  <c r="Q25" i="20"/>
  <c r="M25" i="20" s="1"/>
  <c r="L22" i="20" l="1"/>
  <c r="N22" i="20" s="1"/>
  <c r="O22" i="20" s="1"/>
  <c r="K23" i="20" s="1"/>
  <c r="P23" i="20" s="1"/>
  <c r="J27" i="20"/>
  <c r="Q26" i="20"/>
  <c r="M26" i="20" s="1"/>
  <c r="L23" i="20" l="1"/>
  <c r="N23" i="20" s="1"/>
  <c r="O23" i="20" s="1"/>
  <c r="K24" i="20" s="1"/>
  <c r="P24" i="20" s="1"/>
  <c r="J28" i="20"/>
  <c r="Q27" i="20"/>
  <c r="M27" i="20" s="1"/>
  <c r="L24" i="20" l="1"/>
  <c r="N24" i="20" s="1"/>
  <c r="O24" i="20" s="1"/>
  <c r="K25" i="20" s="1"/>
  <c r="P25" i="20" s="1"/>
  <c r="J29" i="20"/>
  <c r="Q28" i="20"/>
  <c r="M28" i="20" s="1"/>
  <c r="L25" i="20" l="1"/>
  <c r="N25" i="20" s="1"/>
  <c r="O25" i="20" s="1"/>
  <c r="K26" i="20" s="1"/>
  <c r="P26" i="20" s="1"/>
  <c r="J30" i="20"/>
  <c r="Q29" i="20"/>
  <c r="M29" i="20" s="1"/>
  <c r="L26" i="20" l="1"/>
  <c r="N26" i="20" s="1"/>
  <c r="O26" i="20" s="1"/>
  <c r="K27" i="20" s="1"/>
  <c r="P27" i="20" s="1"/>
  <c r="J31" i="20"/>
  <c r="Q30" i="20"/>
  <c r="M30" i="20" s="1"/>
  <c r="L27" i="20" l="1"/>
  <c r="N27" i="20" s="1"/>
  <c r="O27" i="20" s="1"/>
  <c r="K28" i="20" s="1"/>
  <c r="P28" i="20" s="1"/>
  <c r="J32" i="20"/>
  <c r="Q31" i="20"/>
  <c r="M31" i="20" s="1"/>
  <c r="L28" i="20" l="1"/>
  <c r="N28" i="20" s="1"/>
  <c r="O28" i="20" s="1"/>
  <c r="K29" i="20" s="1"/>
  <c r="P29" i="20" s="1"/>
  <c r="J33" i="20"/>
  <c r="Q32" i="20"/>
  <c r="M32" i="20" s="1"/>
  <c r="L29" i="20" l="1"/>
  <c r="N29" i="20" s="1"/>
  <c r="O29" i="20" s="1"/>
  <c r="K30" i="20" s="1"/>
  <c r="P30" i="20" s="1"/>
  <c r="J34" i="20"/>
  <c r="Q33" i="20"/>
  <c r="M33" i="20" s="1"/>
  <c r="L30" i="20" l="1"/>
  <c r="N30" i="20" s="1"/>
  <c r="O30" i="20" s="1"/>
  <c r="K31" i="20" s="1"/>
  <c r="P31" i="20" s="1"/>
  <c r="J35" i="20"/>
  <c r="Q34" i="20"/>
  <c r="M34" i="20" s="1"/>
  <c r="L31" i="20" l="1"/>
  <c r="N31" i="20" s="1"/>
  <c r="O31" i="20" s="1"/>
  <c r="K32" i="20" s="1"/>
  <c r="P32" i="20" s="1"/>
  <c r="J36" i="20"/>
  <c r="Q35" i="20"/>
  <c r="M35" i="20" s="1"/>
  <c r="L32" i="20" l="1"/>
  <c r="N32" i="20" s="1"/>
  <c r="O32" i="20" s="1"/>
  <c r="K33" i="20" s="1"/>
  <c r="P33" i="20" s="1"/>
  <c r="J37" i="20"/>
  <c r="Q36" i="20"/>
  <c r="M36" i="20" s="1"/>
  <c r="L33" i="20" l="1"/>
  <c r="N33" i="20" s="1"/>
  <c r="O33" i="20" s="1"/>
  <c r="K34" i="20" s="1"/>
  <c r="P34" i="20" s="1"/>
  <c r="J38" i="20"/>
  <c r="Q37" i="20"/>
  <c r="M37" i="20" s="1"/>
  <c r="L34" i="20" l="1"/>
  <c r="N34" i="20" s="1"/>
  <c r="O34" i="20" s="1"/>
  <c r="K35" i="20" s="1"/>
  <c r="P35" i="20" s="1"/>
  <c r="J39" i="20"/>
  <c r="Q38" i="20"/>
  <c r="M38" i="20" s="1"/>
  <c r="L35" i="20" l="1"/>
  <c r="N35" i="20" s="1"/>
  <c r="O35" i="20" s="1"/>
  <c r="K36" i="20" s="1"/>
  <c r="P36" i="20" s="1"/>
  <c r="J40" i="20"/>
  <c r="Q39" i="20"/>
  <c r="M39" i="20" s="1"/>
  <c r="L36" i="20" l="1"/>
  <c r="N36" i="20" s="1"/>
  <c r="O36" i="20" s="1"/>
  <c r="K37" i="20" s="1"/>
  <c r="P37" i="20" s="1"/>
  <c r="J41" i="20"/>
  <c r="Q40" i="20"/>
  <c r="M40" i="20" s="1"/>
  <c r="L37" i="20" l="1"/>
  <c r="N37" i="20" s="1"/>
  <c r="O37" i="20" s="1"/>
  <c r="K38" i="20" s="1"/>
  <c r="P38" i="20" s="1"/>
  <c r="J42" i="20"/>
  <c r="Q41" i="20"/>
  <c r="M41" i="20" s="1"/>
  <c r="L38" i="20" l="1"/>
  <c r="N38" i="20" s="1"/>
  <c r="O38" i="20" s="1"/>
  <c r="K39" i="20" s="1"/>
  <c r="P39" i="20" s="1"/>
  <c r="J43" i="20"/>
  <c r="Q42" i="20"/>
  <c r="M42" i="20" s="1"/>
  <c r="L39" i="20" l="1"/>
  <c r="N39" i="20" s="1"/>
  <c r="O39" i="20" s="1"/>
  <c r="K40" i="20" s="1"/>
  <c r="P40" i="20" s="1"/>
  <c r="J44" i="20"/>
  <c r="Q43" i="20"/>
  <c r="M43" i="20" s="1"/>
  <c r="L40" i="20" l="1"/>
  <c r="N40" i="20" s="1"/>
  <c r="O40" i="20" s="1"/>
  <c r="K41" i="20" s="1"/>
  <c r="P41" i="20" s="1"/>
  <c r="J45" i="20"/>
  <c r="Q44" i="20"/>
  <c r="M44" i="20" s="1"/>
  <c r="L41" i="20" l="1"/>
  <c r="N41" i="20" s="1"/>
  <c r="O41" i="20" s="1"/>
  <c r="K42" i="20" s="1"/>
  <c r="P42" i="20" s="1"/>
  <c r="J46" i="20"/>
  <c r="Q45" i="20"/>
  <c r="M45" i="20" s="1"/>
  <c r="L42" i="20" l="1"/>
  <c r="N42" i="20" s="1"/>
  <c r="O42" i="20" s="1"/>
  <c r="K43" i="20" s="1"/>
  <c r="P43" i="20" s="1"/>
  <c r="J47" i="20"/>
  <c r="Q46" i="20"/>
  <c r="M46" i="20" s="1"/>
  <c r="L43" i="20" l="1"/>
  <c r="N43" i="20" s="1"/>
  <c r="O43" i="20" s="1"/>
  <c r="K44" i="20" s="1"/>
  <c r="P44" i="20" s="1"/>
  <c r="J48" i="20"/>
  <c r="Q47" i="20"/>
  <c r="M47" i="20" s="1"/>
  <c r="L44" i="20" l="1"/>
  <c r="N44" i="20" s="1"/>
  <c r="O44" i="20" s="1"/>
  <c r="K45" i="20" s="1"/>
  <c r="P45" i="20" s="1"/>
  <c r="J49" i="20"/>
  <c r="Q48" i="20"/>
  <c r="M48" i="20" s="1"/>
  <c r="L45" i="20" l="1"/>
  <c r="N45" i="20" s="1"/>
  <c r="O45" i="20" s="1"/>
  <c r="K46" i="20" s="1"/>
  <c r="P46" i="20" s="1"/>
  <c r="J50" i="20"/>
  <c r="Q49" i="20"/>
  <c r="M49" i="20" s="1"/>
  <c r="L46" i="20" l="1"/>
  <c r="N46" i="20" s="1"/>
  <c r="O46" i="20" s="1"/>
  <c r="K47" i="20" s="1"/>
  <c r="P47" i="20" s="1"/>
  <c r="J51" i="20"/>
  <c r="Q50" i="20"/>
  <c r="M50" i="20" s="1"/>
  <c r="L47" i="20" l="1"/>
  <c r="N47" i="20" s="1"/>
  <c r="O47" i="20" s="1"/>
  <c r="K48" i="20" s="1"/>
  <c r="P48" i="20" s="1"/>
  <c r="J52" i="20"/>
  <c r="Q51" i="20"/>
  <c r="M51" i="20" s="1"/>
  <c r="L48" i="20" l="1"/>
  <c r="N48" i="20" s="1"/>
  <c r="O48" i="20" s="1"/>
  <c r="K49" i="20" s="1"/>
  <c r="P49" i="20" s="1"/>
  <c r="J53" i="20"/>
  <c r="Q52" i="20"/>
  <c r="M52" i="20" s="1"/>
  <c r="L49" i="20" l="1"/>
  <c r="N49" i="20" s="1"/>
  <c r="O49" i="20" s="1"/>
  <c r="K50" i="20" s="1"/>
  <c r="P50" i="20" s="1"/>
  <c r="J54" i="20"/>
  <c r="Q53" i="20"/>
  <c r="M53" i="20" s="1"/>
  <c r="L50" i="20" l="1"/>
  <c r="N50" i="20" s="1"/>
  <c r="O50" i="20" s="1"/>
  <c r="K51" i="20" s="1"/>
  <c r="P51" i="20" s="1"/>
  <c r="J55" i="20"/>
  <c r="Q54" i="20"/>
  <c r="M54" i="20" s="1"/>
  <c r="L51" i="20" l="1"/>
  <c r="N51" i="20" s="1"/>
  <c r="O51" i="20" s="1"/>
  <c r="K52" i="20" s="1"/>
  <c r="L52" i="20" s="1"/>
  <c r="N52" i="20" s="1"/>
  <c r="J56" i="20"/>
  <c r="Q55" i="20"/>
  <c r="M55" i="20" s="1"/>
  <c r="P52" i="20" l="1"/>
  <c r="J57" i="20"/>
  <c r="Q56" i="20"/>
  <c r="M56" i="20" s="1"/>
  <c r="O52" i="20"/>
  <c r="K53" i="20" s="1"/>
  <c r="P53" i="20" s="1"/>
  <c r="L53" i="20" l="1"/>
  <c r="N53" i="20" s="1"/>
  <c r="O53" i="20" s="1"/>
  <c r="K54" i="20" s="1"/>
  <c r="P54" i="20" s="1"/>
  <c r="J58" i="20"/>
  <c r="Q57" i="20"/>
  <c r="M57" i="20" s="1"/>
  <c r="L54" i="20" l="1"/>
  <c r="N54" i="20" s="1"/>
  <c r="O54" i="20" s="1"/>
  <c r="K55" i="20" s="1"/>
  <c r="P55" i="20" s="1"/>
  <c r="J59" i="20"/>
  <c r="Q58" i="20"/>
  <c r="M58" i="20" s="1"/>
  <c r="L55" i="20" l="1"/>
  <c r="N55" i="20" s="1"/>
  <c r="O55" i="20" s="1"/>
  <c r="K56" i="20" s="1"/>
  <c r="P56" i="20" s="1"/>
  <c r="J60" i="20"/>
  <c r="Q59" i="20"/>
  <c r="M59" i="20" s="1"/>
  <c r="L56" i="20" l="1"/>
  <c r="N56" i="20" s="1"/>
  <c r="O56" i="20" s="1"/>
  <c r="K57" i="20" s="1"/>
  <c r="P57" i="20" s="1"/>
  <c r="J61" i="20"/>
  <c r="Q60" i="20"/>
  <c r="M60" i="20" s="1"/>
  <c r="L57" i="20" l="1"/>
  <c r="N57" i="20" s="1"/>
  <c r="O57" i="20" s="1"/>
  <c r="K58" i="20" s="1"/>
  <c r="P58" i="20" s="1"/>
  <c r="J62" i="20"/>
  <c r="Q61" i="20"/>
  <c r="M61" i="20" s="1"/>
  <c r="L58" i="20" l="1"/>
  <c r="N58" i="20" s="1"/>
  <c r="O58" i="20" s="1"/>
  <c r="K59" i="20" s="1"/>
  <c r="P59" i="20" s="1"/>
  <c r="J63" i="20"/>
  <c r="Q62" i="20"/>
  <c r="M62" i="20" s="1"/>
  <c r="L59" i="20" l="1"/>
  <c r="N59" i="20" s="1"/>
  <c r="O59" i="20" s="1"/>
  <c r="K60" i="20" s="1"/>
  <c r="P60" i="20" s="1"/>
  <c r="J64" i="20"/>
  <c r="Q63" i="20"/>
  <c r="M63" i="20" s="1"/>
  <c r="L60" i="20" l="1"/>
  <c r="N60" i="20" s="1"/>
  <c r="O60" i="20" s="1"/>
  <c r="K61" i="20" s="1"/>
  <c r="P61" i="20" s="1"/>
  <c r="J65" i="20"/>
  <c r="Q64" i="20"/>
  <c r="M64" i="20" s="1"/>
  <c r="L61" i="20" l="1"/>
  <c r="N61" i="20" s="1"/>
  <c r="O61" i="20" s="1"/>
  <c r="K62" i="20" s="1"/>
  <c r="P62" i="20" s="1"/>
  <c r="J66" i="20"/>
  <c r="Q65" i="20"/>
  <c r="M65" i="20" s="1"/>
  <c r="L62" i="20" l="1"/>
  <c r="N62" i="20" s="1"/>
  <c r="O62" i="20" s="1"/>
  <c r="K63" i="20" s="1"/>
  <c r="P63" i="20" s="1"/>
  <c r="J67" i="20"/>
  <c r="Q66" i="20"/>
  <c r="M66" i="20" s="1"/>
  <c r="L63" i="20" l="1"/>
  <c r="N63" i="20" s="1"/>
  <c r="O63" i="20" s="1"/>
  <c r="K64" i="20" s="1"/>
  <c r="P64" i="20" s="1"/>
  <c r="J68" i="20"/>
  <c r="Q67" i="20"/>
  <c r="M67" i="20" s="1"/>
  <c r="L64" i="20" l="1"/>
  <c r="N64" i="20" s="1"/>
  <c r="O64" i="20" s="1"/>
  <c r="K65" i="20" s="1"/>
  <c r="P65" i="20" s="1"/>
  <c r="J69" i="20"/>
  <c r="Q68" i="20"/>
  <c r="M68" i="20" s="1"/>
  <c r="L65" i="20" l="1"/>
  <c r="N65" i="20" s="1"/>
  <c r="O65" i="20" s="1"/>
  <c r="K66" i="20" s="1"/>
  <c r="P66" i="20" s="1"/>
  <c r="J70" i="20"/>
  <c r="Q69" i="20"/>
  <c r="M69" i="20" s="1"/>
  <c r="L66" i="20" l="1"/>
  <c r="N66" i="20" s="1"/>
  <c r="O66" i="20" s="1"/>
  <c r="K67" i="20" s="1"/>
  <c r="P67" i="20" s="1"/>
  <c r="J71" i="20"/>
  <c r="Q70" i="20"/>
  <c r="M70" i="20" s="1"/>
  <c r="L67" i="20" l="1"/>
  <c r="N67" i="20" s="1"/>
  <c r="O67" i="20" s="1"/>
  <c r="K68" i="20" s="1"/>
  <c r="P68" i="20" s="1"/>
  <c r="J72" i="20"/>
  <c r="Q71" i="20"/>
  <c r="M71" i="20" s="1"/>
  <c r="L68" i="20" l="1"/>
  <c r="N68" i="20" s="1"/>
  <c r="O68" i="20" s="1"/>
  <c r="K69" i="20" s="1"/>
  <c r="P69" i="20" s="1"/>
  <c r="J73" i="20"/>
  <c r="Q72" i="20"/>
  <c r="M72" i="20" s="1"/>
  <c r="L69" i="20" l="1"/>
  <c r="N69" i="20" s="1"/>
  <c r="O69" i="20" s="1"/>
  <c r="K70" i="20" s="1"/>
  <c r="J74" i="20"/>
  <c r="Q73" i="20"/>
  <c r="M73" i="20" s="1"/>
  <c r="L70" i="20" l="1"/>
  <c r="N70" i="20" s="1"/>
  <c r="O70" i="20" s="1"/>
  <c r="K71" i="20" s="1"/>
  <c r="P71" i="20" s="1"/>
  <c r="P70" i="20"/>
  <c r="J75" i="20"/>
  <c r="Q74" i="20"/>
  <c r="M74" i="20" s="1"/>
  <c r="L71" i="20" l="1"/>
  <c r="N71" i="20" s="1"/>
  <c r="O71" i="20" s="1"/>
  <c r="K72" i="20" s="1"/>
  <c r="P72" i="20" s="1"/>
  <c r="J76" i="20"/>
  <c r="Q75" i="20"/>
  <c r="M75" i="20" s="1"/>
  <c r="L72" i="20" l="1"/>
  <c r="N72" i="20" s="1"/>
  <c r="O72" i="20" s="1"/>
  <c r="K73" i="20" s="1"/>
  <c r="P73" i="20" s="1"/>
  <c r="J77" i="20"/>
  <c r="Q76" i="20"/>
  <c r="M76" i="20" s="1"/>
  <c r="L73" i="20" l="1"/>
  <c r="N73" i="20" s="1"/>
  <c r="O73" i="20" s="1"/>
  <c r="K74" i="20" s="1"/>
  <c r="P74" i="20" s="1"/>
  <c r="J78" i="20"/>
  <c r="Q77" i="20"/>
  <c r="M77" i="20" s="1"/>
  <c r="L74" i="20" l="1"/>
  <c r="N74" i="20" s="1"/>
  <c r="O74" i="20" s="1"/>
  <c r="K75" i="20" s="1"/>
  <c r="P75" i="20" s="1"/>
  <c r="J79" i="20"/>
  <c r="Q78" i="20"/>
  <c r="M78" i="20" s="1"/>
  <c r="L75" i="20" l="1"/>
  <c r="N75" i="20" s="1"/>
  <c r="O75" i="20" s="1"/>
  <c r="K76" i="20" s="1"/>
  <c r="P76" i="20" s="1"/>
  <c r="J80" i="20"/>
  <c r="Q79" i="20"/>
  <c r="M79" i="20" s="1"/>
  <c r="L76" i="20" l="1"/>
  <c r="N76" i="20" s="1"/>
  <c r="O76" i="20" s="1"/>
  <c r="K77" i="20" s="1"/>
  <c r="P77" i="20" s="1"/>
  <c r="J81" i="20"/>
  <c r="Q80" i="20"/>
  <c r="M80" i="20" s="1"/>
  <c r="L77" i="20" l="1"/>
  <c r="N77" i="20" s="1"/>
  <c r="O77" i="20" s="1"/>
  <c r="K78" i="20" s="1"/>
  <c r="P78" i="20" s="1"/>
  <c r="J82" i="20"/>
  <c r="Q81" i="20"/>
  <c r="M81" i="20" s="1"/>
  <c r="L78" i="20" l="1"/>
  <c r="N78" i="20" s="1"/>
  <c r="O78" i="20" s="1"/>
  <c r="K79" i="20" s="1"/>
  <c r="P79" i="20" s="1"/>
  <c r="J83" i="20"/>
  <c r="Q82" i="20"/>
  <c r="M82" i="20" s="1"/>
  <c r="L79" i="20" l="1"/>
  <c r="N79" i="20" s="1"/>
  <c r="O79" i="20" s="1"/>
  <c r="K80" i="20" s="1"/>
  <c r="P80" i="20" s="1"/>
  <c r="J84" i="20"/>
  <c r="Q83" i="20"/>
  <c r="M83" i="20" s="1"/>
  <c r="L80" i="20" l="1"/>
  <c r="N80" i="20" s="1"/>
  <c r="O80" i="20" s="1"/>
  <c r="K81" i="20" s="1"/>
  <c r="P81" i="20" s="1"/>
  <c r="J85" i="20"/>
  <c r="Q84" i="20"/>
  <c r="M84" i="20" s="1"/>
  <c r="L81" i="20" l="1"/>
  <c r="N81" i="20" s="1"/>
  <c r="O81" i="20" s="1"/>
  <c r="K82" i="20" s="1"/>
  <c r="P82" i="20" s="1"/>
  <c r="J86" i="20"/>
  <c r="Q85" i="20"/>
  <c r="M85" i="20" s="1"/>
  <c r="L82" i="20" l="1"/>
  <c r="N82" i="20" s="1"/>
  <c r="O82" i="20" s="1"/>
  <c r="K83" i="20" s="1"/>
  <c r="P83" i="20" s="1"/>
  <c r="J87" i="20"/>
  <c r="Q86" i="20"/>
  <c r="M86" i="20" s="1"/>
  <c r="L83" i="20" l="1"/>
  <c r="N83" i="20" s="1"/>
  <c r="O83" i="20" s="1"/>
  <c r="K84" i="20" s="1"/>
  <c r="P84" i="20" s="1"/>
  <c r="J88" i="20"/>
  <c r="Q87" i="20"/>
  <c r="M87" i="20" s="1"/>
  <c r="L84" i="20" l="1"/>
  <c r="N84" i="20" s="1"/>
  <c r="O84" i="20" s="1"/>
  <c r="K85" i="20" s="1"/>
  <c r="P85" i="20" s="1"/>
  <c r="J89" i="20"/>
  <c r="Q88" i="20"/>
  <c r="M88" i="20" s="1"/>
  <c r="L85" i="20" l="1"/>
  <c r="N85" i="20" s="1"/>
  <c r="O85" i="20" s="1"/>
  <c r="K86" i="20" s="1"/>
  <c r="P86" i="20" s="1"/>
  <c r="J90" i="20"/>
  <c r="Q89" i="20"/>
  <c r="M89" i="20" s="1"/>
  <c r="L86" i="20" l="1"/>
  <c r="N86" i="20" s="1"/>
  <c r="O86" i="20" s="1"/>
  <c r="K87" i="20" s="1"/>
  <c r="P87" i="20" s="1"/>
  <c r="J91" i="20"/>
  <c r="Q90" i="20"/>
  <c r="M90" i="20" s="1"/>
  <c r="L87" i="20" l="1"/>
  <c r="N87" i="20" s="1"/>
  <c r="O87" i="20" s="1"/>
  <c r="K88" i="20" s="1"/>
  <c r="P88" i="20" s="1"/>
  <c r="J92" i="20"/>
  <c r="Q91" i="20"/>
  <c r="M91" i="20" s="1"/>
  <c r="L88" i="20" l="1"/>
  <c r="N88" i="20" s="1"/>
  <c r="O88" i="20" s="1"/>
  <c r="K89" i="20" s="1"/>
  <c r="P89" i="20" s="1"/>
  <c r="J93" i="20"/>
  <c r="Q92" i="20"/>
  <c r="M92" i="20" s="1"/>
  <c r="L89" i="20" l="1"/>
  <c r="N89" i="20" s="1"/>
  <c r="O89" i="20" s="1"/>
  <c r="K90" i="20" s="1"/>
  <c r="P90" i="20" s="1"/>
  <c r="J94" i="20"/>
  <c r="Q93" i="20"/>
  <c r="M93" i="20" s="1"/>
  <c r="L90" i="20" l="1"/>
  <c r="N90" i="20" s="1"/>
  <c r="O90" i="20" s="1"/>
  <c r="K91" i="20" s="1"/>
  <c r="P91" i="20" s="1"/>
  <c r="J95" i="20"/>
  <c r="Q94" i="20"/>
  <c r="M94" i="20" s="1"/>
  <c r="L91" i="20" l="1"/>
  <c r="N91" i="20" s="1"/>
  <c r="O91" i="20" s="1"/>
  <c r="K92" i="20" s="1"/>
  <c r="P92" i="20" s="1"/>
  <c r="J96" i="20"/>
  <c r="Q95" i="20"/>
  <c r="M95" i="20" s="1"/>
  <c r="L92" i="20" l="1"/>
  <c r="N92" i="20" s="1"/>
  <c r="O92" i="20" s="1"/>
  <c r="K93" i="20" s="1"/>
  <c r="P93" i="20" s="1"/>
  <c r="J97" i="20"/>
  <c r="Q96" i="20"/>
  <c r="M96" i="20" s="1"/>
  <c r="L93" i="20" l="1"/>
  <c r="N93" i="20" s="1"/>
  <c r="O93" i="20" s="1"/>
  <c r="K94" i="20" s="1"/>
  <c r="P94" i="20" s="1"/>
  <c r="J98" i="20"/>
  <c r="Q97" i="20"/>
  <c r="M97" i="20" s="1"/>
  <c r="L94" i="20" l="1"/>
  <c r="N94" i="20" s="1"/>
  <c r="O94" i="20" s="1"/>
  <c r="K95" i="20" s="1"/>
  <c r="P95" i="20" s="1"/>
  <c r="J99" i="20"/>
  <c r="Q98" i="20"/>
  <c r="M98" i="20" s="1"/>
  <c r="L95" i="20" l="1"/>
  <c r="N95" i="20" s="1"/>
  <c r="O95" i="20" s="1"/>
  <c r="K96" i="20" s="1"/>
  <c r="P96" i="20" s="1"/>
  <c r="J100" i="20"/>
  <c r="Q99" i="20"/>
  <c r="M99" i="20" s="1"/>
  <c r="L96" i="20" l="1"/>
  <c r="N96" i="20" s="1"/>
  <c r="O96" i="20" s="1"/>
  <c r="K97" i="20" s="1"/>
  <c r="P97" i="20" s="1"/>
  <c r="J101" i="20"/>
  <c r="Q100" i="20"/>
  <c r="M100" i="20" s="1"/>
  <c r="L97" i="20" l="1"/>
  <c r="N97" i="20" s="1"/>
  <c r="O97" i="20" s="1"/>
  <c r="K98" i="20" s="1"/>
  <c r="P98" i="20" s="1"/>
  <c r="J102" i="20"/>
  <c r="Q101" i="20"/>
  <c r="M101" i="20" s="1"/>
  <c r="L98" i="20" l="1"/>
  <c r="N98" i="20" s="1"/>
  <c r="O98" i="20" s="1"/>
  <c r="K99" i="20" s="1"/>
  <c r="P99" i="20" s="1"/>
  <c r="J103" i="20"/>
  <c r="Q102" i="20"/>
  <c r="M102" i="20" s="1"/>
  <c r="L99" i="20" l="1"/>
  <c r="N99" i="20" s="1"/>
  <c r="O99" i="20" s="1"/>
  <c r="K100" i="20" s="1"/>
  <c r="P100" i="20" s="1"/>
  <c r="J104" i="20"/>
  <c r="Q103" i="20"/>
  <c r="M103" i="20" s="1"/>
  <c r="L100" i="20" l="1"/>
  <c r="N100" i="20" s="1"/>
  <c r="O100" i="20" s="1"/>
  <c r="K101" i="20" s="1"/>
  <c r="P101" i="20" s="1"/>
  <c r="J105" i="20"/>
  <c r="Q104" i="20"/>
  <c r="M104" i="20" s="1"/>
  <c r="L101" i="20" l="1"/>
  <c r="N101" i="20" s="1"/>
  <c r="O101" i="20" s="1"/>
  <c r="K102" i="20" s="1"/>
  <c r="P102" i="20" s="1"/>
  <c r="J106" i="20"/>
  <c r="Q105" i="20"/>
  <c r="M105" i="20" s="1"/>
  <c r="L102" i="20" l="1"/>
  <c r="N102" i="20" s="1"/>
  <c r="O102" i="20" s="1"/>
  <c r="K103" i="20" s="1"/>
  <c r="P103" i="20" s="1"/>
  <c r="J107" i="20"/>
  <c r="Q106" i="20"/>
  <c r="M106" i="20" s="1"/>
  <c r="L103" i="20" l="1"/>
  <c r="N103" i="20" s="1"/>
  <c r="O103" i="20" s="1"/>
  <c r="K104" i="20" s="1"/>
  <c r="P104" i="20" s="1"/>
  <c r="J108" i="20"/>
  <c r="Q107" i="20"/>
  <c r="M107" i="20" s="1"/>
  <c r="L104" i="20" l="1"/>
  <c r="N104" i="20" s="1"/>
  <c r="O104" i="20" s="1"/>
  <c r="K105" i="20" s="1"/>
  <c r="P105" i="20" s="1"/>
  <c r="J109" i="20"/>
  <c r="Q108" i="20"/>
  <c r="M108" i="20" s="1"/>
  <c r="L105" i="20" l="1"/>
  <c r="N105" i="20" s="1"/>
  <c r="O105" i="20" s="1"/>
  <c r="K106" i="20" s="1"/>
  <c r="P106" i="20" s="1"/>
  <c r="J110" i="20"/>
  <c r="Q109" i="20"/>
  <c r="M109" i="20" s="1"/>
  <c r="L106" i="20" l="1"/>
  <c r="N106" i="20" s="1"/>
  <c r="O106" i="20" s="1"/>
  <c r="K107" i="20" s="1"/>
  <c r="P107" i="20" s="1"/>
  <c r="J111" i="20"/>
  <c r="Q110" i="20"/>
  <c r="M110" i="20" s="1"/>
  <c r="L107" i="20" l="1"/>
  <c r="N107" i="20" s="1"/>
  <c r="O107" i="20" s="1"/>
  <c r="K108" i="20" s="1"/>
  <c r="P108" i="20" s="1"/>
  <c r="J112" i="20"/>
  <c r="Q111" i="20"/>
  <c r="M111" i="20" s="1"/>
  <c r="L108" i="20" l="1"/>
  <c r="N108" i="20" s="1"/>
  <c r="O108" i="20" s="1"/>
  <c r="K109" i="20" s="1"/>
  <c r="P109" i="20" s="1"/>
  <c r="J113" i="20"/>
  <c r="Q112" i="20"/>
  <c r="M112" i="20" s="1"/>
  <c r="L109" i="20" l="1"/>
  <c r="N109" i="20" s="1"/>
  <c r="O109" i="20" s="1"/>
  <c r="K110" i="20" s="1"/>
  <c r="P110" i="20" s="1"/>
  <c r="J114" i="20"/>
  <c r="Q113" i="20"/>
  <c r="M113" i="20" s="1"/>
  <c r="L110" i="20" l="1"/>
  <c r="N110" i="20" s="1"/>
  <c r="O110" i="20" s="1"/>
  <c r="K111" i="20" s="1"/>
  <c r="P111" i="20" s="1"/>
  <c r="J115" i="20"/>
  <c r="Q114" i="20"/>
  <c r="M114" i="20" s="1"/>
  <c r="L111" i="20" l="1"/>
  <c r="N111" i="20" s="1"/>
  <c r="O111" i="20" s="1"/>
  <c r="K112" i="20" s="1"/>
  <c r="P112" i="20" s="1"/>
  <c r="J116" i="20"/>
  <c r="Q115" i="20"/>
  <c r="M115" i="20" s="1"/>
  <c r="L112" i="20" l="1"/>
  <c r="N112" i="20" s="1"/>
  <c r="O112" i="20" s="1"/>
  <c r="K113" i="20" s="1"/>
  <c r="L113" i="20" s="1"/>
  <c r="N113" i="20" s="1"/>
  <c r="J117" i="20"/>
  <c r="Q116" i="20"/>
  <c r="M116" i="20" s="1"/>
  <c r="P113" i="20" l="1"/>
  <c r="J118" i="20"/>
  <c r="Q117" i="20"/>
  <c r="M117" i="20" s="1"/>
  <c r="O113" i="20"/>
  <c r="K114" i="20" s="1"/>
  <c r="P114" i="20" s="1"/>
  <c r="L114" i="20" l="1"/>
  <c r="N114" i="20" s="1"/>
  <c r="O114" i="20" s="1"/>
  <c r="K115" i="20" s="1"/>
  <c r="P115" i="20" s="1"/>
  <c r="J119" i="20"/>
  <c r="Q118" i="20"/>
  <c r="M118" i="20" s="1"/>
  <c r="L115" i="20" l="1"/>
  <c r="N115" i="20" s="1"/>
  <c r="O115" i="20" s="1"/>
  <c r="K116" i="20" s="1"/>
  <c r="P116" i="20" s="1"/>
  <c r="J120" i="20"/>
  <c r="Q119" i="20"/>
  <c r="M119" i="20" s="1"/>
  <c r="L116" i="20" l="1"/>
  <c r="N116" i="20" s="1"/>
  <c r="O116" i="20" s="1"/>
  <c r="K117" i="20" s="1"/>
  <c r="P117" i="20" s="1"/>
  <c r="J121" i="20"/>
  <c r="Q120" i="20"/>
  <c r="M120" i="20" s="1"/>
  <c r="L117" i="20" l="1"/>
  <c r="N117" i="20" s="1"/>
  <c r="O117" i="20" s="1"/>
  <c r="K118" i="20" s="1"/>
  <c r="P118" i="20" s="1"/>
  <c r="J122" i="20"/>
  <c r="Q122" i="20" s="1"/>
  <c r="M122" i="20" s="1"/>
  <c r="Q121" i="20"/>
  <c r="M121" i="20" s="1"/>
  <c r="L118" i="20" l="1"/>
  <c r="N118" i="20" s="1"/>
  <c r="O118" i="20" s="1"/>
  <c r="K119" i="20" s="1"/>
  <c r="P119" i="20" s="1"/>
  <c r="L119" i="20" l="1"/>
  <c r="N119" i="20" s="1"/>
  <c r="O119" i="20" s="1"/>
  <c r="K120" i="20" s="1"/>
  <c r="L120" i="20" s="1"/>
  <c r="N120" i="20" s="1"/>
  <c r="P120" i="20" l="1"/>
  <c r="O120" i="20"/>
  <c r="K121" i="20" s="1"/>
  <c r="P121" i="20" s="1"/>
  <c r="L121" i="20" l="1"/>
  <c r="N121" i="20" s="1"/>
  <c r="O121" i="20" s="1"/>
  <c r="K122" i="20" s="1"/>
  <c r="P122" i="20" s="1"/>
  <c r="L37" i="24" s="1"/>
  <c r="L122" i="20" l="1"/>
  <c r="N122" i="20" s="1"/>
  <c r="O122" i="20" s="1"/>
  <c r="L40" i="24"/>
  <c r="J42" i="24" l="1"/>
  <c r="J44" i="24" s="1"/>
  <c r="F42" i="24"/>
  <c r="F44" i="24" s="1"/>
  <c r="I42" i="24"/>
  <c r="I44" i="24" s="1"/>
  <c r="E42" i="24"/>
  <c r="E44" i="24" s="1"/>
  <c r="H42" i="24"/>
  <c r="H44" i="24" s="1"/>
  <c r="C42" i="24"/>
  <c r="C44" i="24" s="1"/>
  <c r="K42" i="24"/>
  <c r="K44" i="24" s="1"/>
  <c r="G42" i="24"/>
  <c r="G44" i="24" s="1"/>
  <c r="B42" i="24"/>
  <c r="D42" i="24"/>
  <c r="L42" i="24" l="1"/>
  <c r="B44" i="24"/>
  <c r="B45" i="24" s="1"/>
  <c r="D44" i="24"/>
  <c r="D45" i="24" s="1"/>
  <c r="C45" i="24"/>
  <c r="L48" i="24" l="1"/>
  <c r="L52" i="24" s="1"/>
  <c r="L50" i="24" s="1"/>
  <c r="L49" i="24" l="1"/>
  <c r="L53" i="24" s="1"/>
  <c r="L54"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Giorgio</author>
  </authors>
  <commentList>
    <comment ref="L25" authorId="0" shapeId="0" xr:uid="{E7962A02-2D2F-44FB-BDA6-E84B4C322A65}">
      <text>
        <r>
          <rPr>
            <sz val="9"/>
            <color indexed="81"/>
            <rFont val="Tahoma"/>
            <family val="2"/>
          </rPr>
          <t>12 = frequenza mensile
4 = frequenza trimestrale
3 = frequenza quadrimestrale
2 = frequenza semestrale
1 = frequenza annuale
0 = nessuna rata di preammortamento</t>
        </r>
      </text>
    </comment>
    <comment ref="L28" authorId="0" shapeId="0" xr:uid="{92ECDAA0-3C2F-42CB-8DFA-E524545D4F23}">
      <text>
        <r>
          <rPr>
            <sz val="9"/>
            <color indexed="81"/>
            <rFont val="Tahoma"/>
            <family val="2"/>
          </rPr>
          <t>12 = frequenza mensile
4 = frequenza trimestrale
3 = frequenza quadrimestrale
2 = frequenza semestrale
1 = frequenza annuale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2" authorId="0" shapeId="0" xr:uid="{E1A524B3-B777-48F9-9AAC-F4D11893263D}">
      <text>
        <r>
          <rPr>
            <sz val="8"/>
            <color indexed="8"/>
            <rFont val="Tahoma"/>
            <family val="2"/>
          </rPr>
          <t>Commissione Unione Europea</t>
        </r>
      </text>
    </comment>
  </commentList>
</comments>
</file>

<file path=xl/sharedStrings.xml><?xml version="1.0" encoding="utf-8"?>
<sst xmlns="http://schemas.openxmlformats.org/spreadsheetml/2006/main" count="133" uniqueCount="109">
  <si>
    <t>DETERMINAZIONE DELL'INTENSITA' DI AIUTO</t>
  </si>
  <si>
    <t>Valorizzare i campi in rosso</t>
  </si>
  <si>
    <t>Totale</t>
  </si>
  <si>
    <t xml:space="preserve">Note </t>
  </si>
  <si>
    <t xml:space="preserve">Importo investimento (spesa ammissibile SRD01-02) IVA esclusa </t>
  </si>
  <si>
    <t>---</t>
  </si>
  <si>
    <t>Percentuale Contributo SRD01-SRD02</t>
  </si>
  <si>
    <t>L'intensità di aiuto è stabilita nel Bando "Pacchetto SRD01 – SRD02 – investimenti produttivi agricoli (competitività e sostenibilità)", Allegati A e B.</t>
  </si>
  <si>
    <t>Importo Contributo SRD01-SRD02</t>
  </si>
  <si>
    <t xml:space="preserve">Importo degli elementi dell'investimento completati/attuati alla data di concessione FNC-Agricoltura </t>
  </si>
  <si>
    <t>Da indicare in sede di richiesta FNC-Agricoltura</t>
  </si>
  <si>
    <t>Importo investimento (spesa ammissibile FNC-Agricoltura) IVA esclusa</t>
  </si>
  <si>
    <t xml:space="preserve">Importo IVA eventualmente richiesto (spesa ammissibile FNC-Agricoltura)  </t>
  </si>
  <si>
    <t xml:space="preserve">Importo investimento (spesa ammissibile FNC-Agricoltura) IVA inclusa </t>
  </si>
  <si>
    <t>Importo Finanziamento Bancario</t>
  </si>
  <si>
    <t>Percentuale garanzia I grado</t>
  </si>
  <si>
    <t>TAN Prestito</t>
  </si>
  <si>
    <t>Durata complessiva prestito (mm)</t>
  </si>
  <si>
    <t>TAN (max 2%) - pre amm.to</t>
  </si>
  <si>
    <t>TAN (max 2%) - amm.to</t>
  </si>
  <si>
    <t>Numero di rate in un anno nel periodo di preammortamento</t>
  </si>
  <si>
    <t>Durata periodo di preammortamento (in mesi)</t>
  </si>
  <si>
    <t>Numero rate totali di preammortamento</t>
  </si>
  <si>
    <t>Numero di rate in un anno nel periodo di ammortamento</t>
  </si>
  <si>
    <t>Durata periodo di ammortamento (in mesi)</t>
  </si>
  <si>
    <t>Numero rate totali di ammortamento</t>
  </si>
  <si>
    <t>Tasso di interesse periodale - periodo di preammortamento</t>
  </si>
  <si>
    <t>Tasso di interesse periodale - periodo di ammortamento</t>
  </si>
  <si>
    <t>Tasso di Riferimento Europeo (anno/mese di concessione della garanzia di primo grado)</t>
  </si>
  <si>
    <t>Altri oneri Confidi applicabili (ad eccezione della commissione di garanzia)</t>
  </si>
  <si>
    <t>Deve essere indicato da Confidi 1° grado</t>
  </si>
  <si>
    <r>
      <rPr>
        <b/>
        <sz val="10"/>
        <rFont val="Calibri Light"/>
        <family val="2"/>
        <scheme val="major"/>
      </rPr>
      <t>ESL Contributo c/oneri Confidi</t>
    </r>
    <r>
      <rPr>
        <sz val="10"/>
        <rFont val="Calibri Light"/>
        <family val="2"/>
        <scheme val="major"/>
      </rPr>
      <t xml:space="preserve"> (ad esclusione di azioni/quote/pegni/cauzioni)</t>
    </r>
  </si>
  <si>
    <t>ESL Contributo c/interessi</t>
  </si>
  <si>
    <t>Fattore di rischio per calcolo ESL riassicurazione (relativo alla data di concessione della garanzia di primo grado)</t>
  </si>
  <si>
    <t>Sulla base delle disposizioni operative del FCG</t>
  </si>
  <si>
    <t xml:space="preserve">ESL riassicurazione </t>
  </si>
  <si>
    <t xml:space="preserve">Totale ESL FNC-Agricoltura </t>
  </si>
  <si>
    <t>Ripartizione ESL FNC-Agricoltura</t>
  </si>
  <si>
    <t>Intensità di aiuto massima</t>
  </si>
  <si>
    <t>Intensità di aiuto effettiva</t>
  </si>
  <si>
    <t>Verifica intensità massima di aiuto</t>
  </si>
  <si>
    <t>PIANO DI PREAMMORTAMENTO</t>
  </si>
  <si>
    <t xml:space="preserve">PIANO DI AMMORTAMENTO </t>
  </si>
  <si>
    <t>Numero rata</t>
  </si>
  <si>
    <t>Quota interessi</t>
  </si>
  <si>
    <t>Quota capitale</t>
  </si>
  <si>
    <t>Rata complessiva</t>
  </si>
  <si>
    <t>Debito estinto</t>
  </si>
  <si>
    <t xml:space="preserve">Debito residuo </t>
  </si>
  <si>
    <t>Quote interessi attualizzate ai fini del calcolo dell'ESL</t>
  </si>
  <si>
    <t>DE MINIMIS</t>
  </si>
  <si>
    <t>Fr fattore di rischio</t>
  </si>
  <si>
    <t>C costi amministr.</t>
  </si>
  <si>
    <t>R remunerazione capitale</t>
  </si>
  <si>
    <t>G% premio una tantum effettivo</t>
  </si>
  <si>
    <t>D (prestito)</t>
  </si>
  <si>
    <t>Z (% garantita dal Fondo)</t>
  </si>
  <si>
    <t>importo garantito (D*Z)</t>
  </si>
  <si>
    <t>t durata (in anni arrotondata per eccesso)</t>
  </si>
  <si>
    <t>i tasso di riferimento</t>
  </si>
  <si>
    <t>rata costante D al tasso i</t>
  </si>
  <si>
    <t>anni</t>
  </si>
  <si>
    <t>Dt debito residuo</t>
  </si>
  <si>
    <t xml:space="preserve">interessi </t>
  </si>
  <si>
    <t>quota capitale</t>
  </si>
  <si>
    <t xml:space="preserve">rata costante </t>
  </si>
  <si>
    <r>
      <rPr>
        <b/>
        <sz val="10"/>
        <rFont val="Arial"/>
        <family val="2"/>
      </rPr>
      <t>It = Dt Z (F</t>
    </r>
    <r>
      <rPr>
        <b/>
        <vertAlign val="subscript"/>
        <sz val="10"/>
        <rFont val="Arial"/>
        <family val="2"/>
      </rPr>
      <t>R</t>
    </r>
    <r>
      <rPr>
        <b/>
        <sz val="10"/>
        <rFont val="Arial"/>
        <family val="2"/>
      </rPr>
      <t xml:space="preserve"> + C + R)</t>
    </r>
  </si>
  <si>
    <r>
      <rPr>
        <b/>
        <sz val="12"/>
        <rFont val="Symbol"/>
        <family val="1"/>
        <charset val="2"/>
      </rPr>
      <t>S</t>
    </r>
    <r>
      <rPr>
        <b/>
        <sz val="12"/>
        <rFont val="Times New Roman"/>
        <family val="1"/>
      </rPr>
      <t xml:space="preserve"> I</t>
    </r>
    <r>
      <rPr>
        <b/>
        <vertAlign val="subscript"/>
        <sz val="12"/>
        <rFont val="Times New Roman"/>
        <family val="1"/>
      </rPr>
      <t xml:space="preserve">t </t>
    </r>
    <r>
      <rPr>
        <b/>
        <sz val="12"/>
        <rFont val="Times New Roman"/>
        <family val="1"/>
      </rPr>
      <t>attualizzati</t>
    </r>
  </si>
  <si>
    <t>G (valore)</t>
  </si>
  <si>
    <t xml:space="preserve">ESL valore </t>
  </si>
  <si>
    <t>Massimali</t>
  </si>
  <si>
    <t xml:space="preserve">Contributo c/interessi massimo </t>
  </si>
  <si>
    <t xml:space="preserve">Contributo c/oneri massimo </t>
  </si>
  <si>
    <t>Frequenza</t>
  </si>
  <si>
    <t>Viene automaticamente ridotto in sequenza il Contributo c/oneri Confidi, poi eventualmente il Contributo c/interessi e infine eventualmente la riassicurazione</t>
  </si>
  <si>
    <t xml:space="preserve">ESL riassicurazione definitivo </t>
  </si>
  <si>
    <t>di cui sovvenzione c/oneri</t>
  </si>
  <si>
    <t xml:space="preserve">di cui sovvenzione c/interessi </t>
  </si>
  <si>
    <t>di cui riassicurazione</t>
  </si>
  <si>
    <t>di cui c/oneri</t>
  </si>
  <si>
    <t xml:space="preserve">di cui c/interessi </t>
  </si>
  <si>
    <t>Gruppo investimenti 1</t>
  </si>
  <si>
    <t>Gruppo investimenti 2</t>
  </si>
  <si>
    <t>Gruppo investimenti 3</t>
  </si>
  <si>
    <t>Descrizione gruppo di investimenti</t>
  </si>
  <si>
    <t>SRD01 Investimenti produttivi agricoli per la competitività delle aziende agricole (CSR Marche)</t>
  </si>
  <si>
    <t>SRD02 Investimenti produttivi agricoli per ambiente, clima e benessere animale (CSR Marche)</t>
  </si>
  <si>
    <t>SRD01 e SRD02 – investimenti di giovani agricoltori entro 5 anni dall’insediamento (CSR Marche)</t>
  </si>
  <si>
    <t>SRD02 - Produzione di energia oltre il fabbisogno aziendale (in regime di De minimis)</t>
  </si>
  <si>
    <t xml:space="preserve">ESL FNC-Agricoltura totale definitivo </t>
  </si>
  <si>
    <t>Sovvenzioni da erogare all'impresa - totale definitivo</t>
  </si>
  <si>
    <t xml:space="preserve">Indicare per ogni gruppo, gli investimenti in esso raggruppati con indicazione del numero di investimento come riportato su SIAR ed il relativo importo, comprensivo di spese tecniche collegate alla realizzazione dello stesso. </t>
  </si>
  <si>
    <t>- - -</t>
  </si>
  <si>
    <t>Gruppo investimenti 4</t>
  </si>
  <si>
    <t>Gruppo investimenti 5</t>
  </si>
  <si>
    <t>Gruppo investimenti 6</t>
  </si>
  <si>
    <t>Gruppo investimenti 7</t>
  </si>
  <si>
    <t>Gruppo investimenti 8</t>
  </si>
  <si>
    <t>Gruppo investimenti 9</t>
  </si>
  <si>
    <t>Gruppo investimenti 10</t>
  </si>
  <si>
    <t xml:space="preserve">Tipo intervento CSR Marche </t>
  </si>
  <si>
    <t xml:space="preserve">Inv. SIAR n 3, importo 50.000  </t>
  </si>
  <si>
    <t>inv. SIAR n 8, importo 20.000</t>
  </si>
  <si>
    <t>inv. SIAR n 4, importo 75.000; inv. SIAR n 6, importo  25.000</t>
  </si>
  <si>
    <t>Margine attualizzazione - Comunicazione 2008/C 14/02</t>
  </si>
  <si>
    <t xml:space="preserve">Eventuale ESL FNC-Agricoltura da ridurre </t>
  </si>
  <si>
    <r>
      <t xml:space="preserve">Importo del gruppo di investimenti relativo agli interventi SRD01-02, comprensivo di spese tecniche collegate alla realizzazione degli stessi. </t>
    </r>
    <r>
      <rPr>
        <b/>
        <sz val="10"/>
        <rFont val="Calibri Light"/>
        <family val="2"/>
        <scheme val="major"/>
      </rPr>
      <t>ATTENZIONE</t>
    </r>
    <r>
      <rPr>
        <sz val="10"/>
        <rFont val="Calibri Light"/>
        <family val="2"/>
        <scheme val="major"/>
      </rPr>
      <t xml:space="preserve">: All'interno di ciascun gruppo si possono raggruppare sono gli investimenti che si riferiscono allo stesso tipo di intervento (SRD01 o SRD02), allo stesso regime di aiuti (CSR Marche o de minimis) e aventi la stessa percentuale di contributo SRD01-SRD02 (cella A12). </t>
    </r>
  </si>
  <si>
    <r>
      <t xml:space="preserve">da definire dall'azienda in sede di richiesta FNC-AGRICOLTURA
</t>
    </r>
    <r>
      <rPr>
        <b/>
        <sz val="10"/>
        <rFont val="Calibri Light"/>
        <family val="2"/>
        <scheme val="major"/>
      </rPr>
      <t>ATTENZIONE l'importo IVA, che può essere eventualmente richiesto, è relativo alla sola parte dell'investimento relativa al sostegno del FNC-Agricoltura (cella A16)</t>
    </r>
  </si>
  <si>
    <r>
      <t xml:space="preserve">Da definire dall'azienda in sede di richiesta FNC-AGRICOLTURA
</t>
    </r>
    <r>
      <rPr>
        <b/>
        <sz val="10"/>
        <rFont val="Calibri Light"/>
        <family val="2"/>
        <scheme val="major"/>
      </rPr>
      <t>ATTENZIONE non deve superare l'importo della cella A18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</si>
</sst>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3" formatCode="_-* #,##0.00_-;\-* #,##0.00_-;_-* &quot;-&quot;??_-;_-@_-"/>
    <numFmt numFmtId="164" formatCode="_-* #,##0.00\ _€_-;\-* #,##0.00\ _€_-;_-* &quot;-&quot;??\ _€_-;_-@_-"/>
    <numFmt numFmtId="165" formatCode="_-&quot;€&quot;\ * #,##0.00_-;\-&quot;€&quot;\ * #,##0.00_-;_-&quot;€&quot;\ * &quot;-&quot;??_-;_-@_-"/>
    <numFmt numFmtId="166" formatCode="&quot;€&quot;\ #,##0.00"/>
    <numFmt numFmtId="167" formatCode="_-* #,##0_-;\-* #,##0_-;_-* &quot;-&quot;??_-;_-@_-"/>
    <numFmt numFmtId="168" formatCode="&quot;€ &quot;#,##0.00;&quot;-€ &quot;#,##0.00"/>
    <numFmt numFmtId="169" formatCode="0.0000%"/>
    <numFmt numFmtId="170" formatCode="0.000%"/>
    <numFmt numFmtId="171" formatCode="_-* #,##0.00_-;\-* #,##0.00_-;_-* \-??_-;_-@_-"/>
    <numFmt numFmtId="172" formatCode="&quot;€ &quot;#,##0.00;[Red]&quot;-€ &quot;#,##0.00"/>
    <numFmt numFmtId="173" formatCode="dd/mm/yy"/>
  </numFmts>
  <fonts count="37" x14ac:knownFonts="1">
    <font>
      <sz val="10"/>
      <name val="Century Gothic"/>
      <family val="2"/>
    </font>
    <font>
      <sz val="10"/>
      <name val="Century Gothic"/>
      <family val="2"/>
    </font>
    <font>
      <b/>
      <sz val="10.5"/>
      <name val="Calibri Light"/>
      <family val="1"/>
      <scheme val="major"/>
    </font>
    <font>
      <sz val="10"/>
      <name val="Calibri Light"/>
      <family val="1"/>
      <scheme val="major"/>
    </font>
    <font>
      <sz val="10"/>
      <color rgb="FFFF0000"/>
      <name val="Calibri Light"/>
      <family val="1"/>
      <scheme val="major"/>
    </font>
    <font>
      <sz val="9"/>
      <color indexed="81"/>
      <name val="Tahoma"/>
      <family val="2"/>
    </font>
    <font>
      <b/>
      <sz val="10"/>
      <name val="Calibri Light"/>
      <family val="2"/>
      <scheme val="major"/>
    </font>
    <font>
      <sz val="10"/>
      <name val="Calibri Light"/>
      <family val="2"/>
      <scheme val="major"/>
    </font>
    <font>
      <sz val="10"/>
      <color rgb="FFFF0000"/>
      <name val="Calibri Light"/>
      <family val="2"/>
      <scheme val="major"/>
    </font>
    <font>
      <b/>
      <sz val="16"/>
      <name val="Arial"/>
      <family val="2"/>
    </font>
    <font>
      <b/>
      <sz val="10"/>
      <color indexed="12"/>
      <name val="Arial"/>
      <family val="2"/>
    </font>
    <font>
      <sz val="10"/>
      <color indexed="56"/>
      <name val="Arial"/>
      <family val="2"/>
    </font>
    <font>
      <sz val="16"/>
      <color indexed="12"/>
      <name val="Arial"/>
      <family val="2"/>
    </font>
    <font>
      <sz val="10"/>
      <name val="Arial"/>
      <family val="2"/>
    </font>
    <font>
      <sz val="10"/>
      <color indexed="12"/>
      <name val="Arial"/>
      <family val="2"/>
    </font>
    <font>
      <b/>
      <sz val="10"/>
      <name val="Arial"/>
      <family val="2"/>
    </font>
    <font>
      <sz val="10"/>
      <color indexed="10"/>
      <name val="Arial"/>
      <family val="2"/>
    </font>
    <font>
      <b/>
      <vertAlign val="subscript"/>
      <sz val="10"/>
      <name val="Arial"/>
      <family val="2"/>
    </font>
    <font>
      <b/>
      <sz val="12"/>
      <name val="Symbol"/>
      <family val="1"/>
      <charset val="2"/>
    </font>
    <font>
      <b/>
      <sz val="12"/>
      <name val="Times New Roman"/>
      <family val="1"/>
    </font>
    <font>
      <b/>
      <vertAlign val="subscript"/>
      <sz val="12"/>
      <name val="Times New Roman"/>
      <family val="1"/>
    </font>
    <font>
      <sz val="8"/>
      <color indexed="8"/>
      <name val="Tahoma"/>
      <family val="2"/>
    </font>
    <font>
      <u/>
      <sz val="10.5"/>
      <name val="Calibri Light"/>
      <family val="2"/>
      <scheme val="major"/>
    </font>
    <font>
      <sz val="10.5"/>
      <name val="Calibri Light"/>
      <family val="2"/>
      <scheme val="major"/>
    </font>
    <font>
      <b/>
      <sz val="10"/>
      <name val="Century Gothic"/>
      <family val="2"/>
    </font>
    <font>
      <b/>
      <sz val="10.5"/>
      <name val="Calibri Light"/>
      <family val="2"/>
      <scheme val="major"/>
    </font>
    <font>
      <i/>
      <sz val="10"/>
      <name val="Century Gothic"/>
      <family val="2"/>
    </font>
    <font>
      <sz val="10"/>
      <color rgb="FFFF0000"/>
      <name val="Century Gothic"/>
      <family val="2"/>
    </font>
    <font>
      <sz val="10"/>
      <name val="Calibri Light"/>
      <family val="2"/>
    </font>
    <font>
      <sz val="10.5"/>
      <color rgb="FFFF0000"/>
      <name val="Calibri Light"/>
      <family val="2"/>
    </font>
    <font>
      <sz val="10"/>
      <color theme="5"/>
      <name val="Century Gothic"/>
      <family val="2"/>
    </font>
    <font>
      <sz val="10"/>
      <color theme="1"/>
      <name val="Century Gothic"/>
      <family val="2"/>
    </font>
    <font>
      <b/>
      <sz val="10"/>
      <color rgb="FFFF0000"/>
      <name val="Century Gothic"/>
      <family val="2"/>
    </font>
    <font>
      <sz val="10"/>
      <color theme="1"/>
      <name val="Calibri Light"/>
      <family val="2"/>
    </font>
    <font>
      <b/>
      <sz val="10"/>
      <color theme="1"/>
      <name val="Century Gothic"/>
      <family val="2"/>
    </font>
    <font>
      <sz val="8"/>
      <name val="Century Gothic"/>
      <family val="2"/>
    </font>
    <font>
      <sz val="10.5"/>
      <color rgb="FFFF0000"/>
      <name val="Calibri Light"/>
      <family val="2"/>
      <scheme val="major"/>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indexed="13"/>
        <bgColor indexed="34"/>
      </patternFill>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8"/>
      </left>
      <right style="double">
        <color indexed="8"/>
      </right>
      <top style="double">
        <color indexed="8"/>
      </top>
      <bottom style="double">
        <color indexed="8"/>
      </bottom>
      <diagonal/>
    </border>
    <border>
      <left style="medium">
        <color indexed="8"/>
      </left>
      <right style="medium">
        <color indexed="8"/>
      </right>
      <top style="medium">
        <color indexed="8"/>
      </top>
      <bottom style="medium">
        <color indexed="8"/>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Dashed">
        <color indexed="64"/>
      </top>
      <bottom style="thin">
        <color indexed="64"/>
      </bottom>
      <diagonal/>
    </border>
    <border>
      <left style="thin">
        <color indexed="64"/>
      </left>
      <right/>
      <top style="thin">
        <color indexed="64"/>
      </top>
      <bottom style="mediumDashed">
        <color indexed="64"/>
      </bottom>
      <diagonal/>
    </border>
    <border>
      <left/>
      <right style="thin">
        <color indexed="64"/>
      </right>
      <top style="mediumDashed">
        <color indexed="64"/>
      </top>
      <bottom style="thin">
        <color indexed="64"/>
      </bottom>
      <diagonal/>
    </border>
    <border>
      <left/>
      <right style="thin">
        <color indexed="64"/>
      </right>
      <top style="thin">
        <color indexed="64"/>
      </top>
      <bottom style="mediumDashed">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s>
  <cellStyleXfs count="4">
    <xf numFmtId="0" fontId="0" fillId="0" borderId="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2">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vertical="center" wrapText="1"/>
      <protection hidden="1"/>
    </xf>
    <xf numFmtId="0" fontId="0" fillId="0" borderId="0" xfId="0" applyProtection="1">
      <protection hidden="1"/>
    </xf>
    <xf numFmtId="172" fontId="0" fillId="0" borderId="0" xfId="2" applyNumberFormat="1" applyFont="1" applyFill="1" applyBorder="1" applyAlignment="1" applyProtection="1">
      <protection hidden="1"/>
    </xf>
    <xf numFmtId="173" fontId="0" fillId="0" borderId="0" xfId="0" applyNumberFormat="1" applyProtection="1">
      <protection hidden="1"/>
    </xf>
    <xf numFmtId="43" fontId="16" fillId="0" borderId="0" xfId="2" applyFont="1" applyFill="1" applyBorder="1" applyAlignment="1" applyProtection="1"/>
    <xf numFmtId="10" fontId="16" fillId="0" borderId="0" xfId="3" applyNumberFormat="1" applyFont="1" applyProtection="1"/>
    <xf numFmtId="3" fontId="3" fillId="2" borderId="1" xfId="0" applyNumberFormat="1" applyFont="1" applyFill="1" applyBorder="1" applyAlignment="1">
      <alignment vertical="center"/>
    </xf>
    <xf numFmtId="166" fontId="3" fillId="2" borderId="1" xfId="0" applyNumberFormat="1" applyFont="1" applyFill="1" applyBorder="1" applyAlignment="1">
      <alignment vertical="center"/>
    </xf>
    <xf numFmtId="167" fontId="0" fillId="0" borderId="1" xfId="2" applyNumberFormat="1" applyFont="1" applyBorder="1" applyProtection="1"/>
    <xf numFmtId="43" fontId="0" fillId="0" borderId="1" xfId="2" applyFont="1" applyBorder="1" applyProtection="1"/>
    <xf numFmtId="43" fontId="0" fillId="0" borderId="1" xfId="2" applyFont="1" applyBorder="1" applyAlignment="1" applyProtection="1">
      <alignment horizontal="right"/>
    </xf>
    <xf numFmtId="4" fontId="25" fillId="0" borderId="0" xfId="0" applyNumberFormat="1" applyFont="1" applyAlignment="1" applyProtection="1">
      <alignment horizontal="right" vertical="center"/>
      <protection hidden="1"/>
    </xf>
    <xf numFmtId="4" fontId="23" fillId="0" borderId="0" xfId="0" applyNumberFormat="1" applyFont="1" applyAlignment="1" applyProtection="1">
      <alignment horizontal="right" vertical="center"/>
      <protection hidden="1"/>
    </xf>
    <xf numFmtId="9" fontId="0" fillId="0" borderId="0" xfId="3" applyFont="1"/>
    <xf numFmtId="0" fontId="26" fillId="0" borderId="0" xfId="0" applyFont="1"/>
    <xf numFmtId="4" fontId="26" fillId="0" borderId="0" xfId="0" applyNumberFormat="1" applyFont="1"/>
    <xf numFmtId="0" fontId="24" fillId="0" borderId="0" xfId="0" applyFont="1"/>
    <xf numFmtId="0" fontId="0" fillId="0" borderId="0" xfId="0" applyAlignment="1">
      <alignment vertical="center" wrapText="1"/>
    </xf>
    <xf numFmtId="9" fontId="0" fillId="0" borderId="0" xfId="0" applyNumberFormat="1" applyAlignment="1">
      <alignment vertical="center" wrapText="1"/>
    </xf>
    <xf numFmtId="0" fontId="2" fillId="0" borderId="0" xfId="0" applyFont="1" applyAlignment="1">
      <alignment vertical="center" wrapText="1"/>
    </xf>
    <xf numFmtId="0" fontId="22" fillId="0" borderId="0" xfId="0" applyFont="1" applyAlignment="1">
      <alignment vertical="center" wrapText="1"/>
    </xf>
    <xf numFmtId="0" fontId="28" fillId="0" borderId="1" xfId="0" applyFont="1" applyBorder="1" applyAlignment="1">
      <alignment vertical="center"/>
    </xf>
    <xf numFmtId="9" fontId="29" fillId="0" borderId="1" xfId="3" applyFont="1" applyBorder="1" applyAlignment="1" applyProtection="1">
      <alignment horizontal="right" vertical="center"/>
      <protection locked="0"/>
    </xf>
    <xf numFmtId="164" fontId="2" fillId="0" borderId="1" xfId="0" applyNumberFormat="1" applyFont="1" applyBorder="1" applyAlignment="1">
      <alignment horizontal="center" vertical="center"/>
    </xf>
    <xf numFmtId="4" fontId="25" fillId="0" borderId="1" xfId="0" quotePrefix="1" applyNumberFormat="1" applyFont="1" applyBorder="1" applyAlignment="1">
      <alignment horizontal="right" vertical="center"/>
    </xf>
    <xf numFmtId="0" fontId="2" fillId="0" borderId="1" xfId="0" applyFont="1" applyBorder="1" applyAlignment="1" applyProtection="1">
      <alignment horizontal="center" vertical="center"/>
      <protection hidden="1"/>
    </xf>
    <xf numFmtId="0" fontId="0" fillId="0" borderId="1" xfId="0" applyBorder="1"/>
    <xf numFmtId="0" fontId="2" fillId="0" borderId="0" xfId="0" applyFont="1" applyAlignment="1" applyProtection="1">
      <alignment horizontal="left" vertical="center"/>
      <protection hidden="1"/>
    </xf>
    <xf numFmtId="4" fontId="25" fillId="0" borderId="0" xfId="0" applyNumberFormat="1" applyFont="1" applyAlignment="1" applyProtection="1">
      <alignment horizontal="left" vertical="center"/>
      <protection hidden="1"/>
    </xf>
    <xf numFmtId="164" fontId="27" fillId="0" borderId="1" xfId="0" applyNumberFormat="1" applyFont="1" applyBorder="1" applyAlignment="1" applyProtection="1">
      <alignment vertical="center"/>
      <protection locked="0"/>
    </xf>
    <xf numFmtId="0" fontId="0" fillId="0" borderId="0" xfId="0" applyAlignment="1">
      <alignment vertical="center"/>
    </xf>
    <xf numFmtId="0" fontId="7" fillId="0" borderId="1" xfId="0" applyFont="1" applyBorder="1" applyAlignment="1" applyProtection="1">
      <alignment horizontal="left" vertical="center" wrapText="1"/>
      <protection hidden="1"/>
    </xf>
    <xf numFmtId="0" fontId="6" fillId="0" borderId="1" xfId="0" applyFont="1" applyBorder="1" applyAlignment="1" applyProtection="1">
      <alignment horizontal="left" vertical="center" wrapText="1"/>
      <protection hidden="1"/>
    </xf>
    <xf numFmtId="4" fontId="7" fillId="0" borderId="1" xfId="0" applyNumberFormat="1" applyFont="1" applyBorder="1" applyAlignment="1" applyProtection="1">
      <alignment horizontal="left" vertical="center"/>
      <protection hidden="1"/>
    </xf>
    <xf numFmtId="9" fontId="3" fillId="7" borderId="14" xfId="3" applyFont="1" applyFill="1" applyBorder="1" applyAlignment="1" applyProtection="1">
      <alignment vertical="center"/>
    </xf>
    <xf numFmtId="9" fontId="3" fillId="7" borderId="16" xfId="3" applyFont="1" applyFill="1" applyBorder="1" applyAlignment="1" applyProtection="1">
      <alignment vertical="center"/>
    </xf>
    <xf numFmtId="10" fontId="3" fillId="0" borderId="15" xfId="3" applyNumberFormat="1" applyFont="1" applyFill="1" applyBorder="1" applyAlignment="1" applyProtection="1">
      <alignment vertical="center"/>
    </xf>
    <xf numFmtId="0" fontId="4" fillId="0" borderId="4" xfId="0" applyFont="1" applyBorder="1" applyAlignment="1" applyProtection="1">
      <alignment vertical="center" wrapText="1"/>
      <protection locked="0"/>
    </xf>
    <xf numFmtId="0" fontId="3" fillId="0" borderId="15" xfId="0" applyFont="1" applyBorder="1" applyAlignment="1">
      <alignment vertical="center" wrapText="1"/>
    </xf>
    <xf numFmtId="0" fontId="4" fillId="0" borderId="4" xfId="0" applyFont="1" applyBorder="1" applyAlignment="1" applyProtection="1">
      <alignment vertical="center"/>
      <protection locked="0"/>
    </xf>
    <xf numFmtId="10" fontId="8" fillId="0" borderId="20" xfId="3" applyNumberFormat="1" applyFont="1" applyFill="1" applyBorder="1" applyAlignment="1" applyProtection="1">
      <alignment vertical="center"/>
      <protection locked="0"/>
    </xf>
    <xf numFmtId="10" fontId="7" fillId="0" borderId="21" xfId="3" applyNumberFormat="1" applyFont="1" applyFill="1" applyBorder="1" applyAlignment="1" applyProtection="1">
      <alignment horizontal="right" vertical="center"/>
    </xf>
    <xf numFmtId="43" fontId="8" fillId="0" borderId="10" xfId="2" applyFont="1" applyFill="1" applyBorder="1" applyAlignment="1" applyProtection="1">
      <alignment horizontal="right" vertical="center"/>
      <protection locked="0"/>
    </xf>
    <xf numFmtId="43" fontId="6" fillId="3" borderId="4" xfId="2" applyFont="1" applyFill="1" applyBorder="1" applyAlignment="1" applyProtection="1">
      <alignment vertical="center"/>
    </xf>
    <xf numFmtId="43" fontId="6" fillId="3" borderId="4" xfId="2" applyFont="1" applyFill="1" applyBorder="1" applyAlignment="1" applyProtection="1">
      <alignment horizontal="right" vertical="center"/>
    </xf>
    <xf numFmtId="10" fontId="8" fillId="0" borderId="20" xfId="3" applyNumberFormat="1" applyFont="1" applyFill="1" applyBorder="1" applyAlignment="1" applyProtection="1">
      <alignment horizontal="right" vertical="center"/>
      <protection locked="0"/>
    </xf>
    <xf numFmtId="43" fontId="6" fillId="4" borderId="21" xfId="2" applyFont="1" applyFill="1" applyBorder="1" applyAlignment="1" applyProtection="1">
      <alignment horizontal="right" vertical="center"/>
    </xf>
    <xf numFmtId="43" fontId="6" fillId="5" borderId="12" xfId="2" applyFont="1" applyFill="1" applyBorder="1" applyAlignment="1" applyProtection="1">
      <alignment horizontal="right" vertical="center"/>
    </xf>
    <xf numFmtId="43" fontId="27" fillId="0" borderId="6" xfId="2" applyFont="1" applyBorder="1" applyAlignment="1" applyProtection="1">
      <alignment vertical="center"/>
      <protection locked="0"/>
    </xf>
    <xf numFmtId="0" fontId="8" fillId="0" borderId="1" xfId="0" applyFont="1" applyBorder="1" applyAlignment="1" applyProtection="1">
      <alignment horizontal="left" vertical="center" wrapText="1"/>
      <protection hidden="1"/>
    </xf>
    <xf numFmtId="0" fontId="30" fillId="0" borderId="0" xfId="0" applyFont="1"/>
    <xf numFmtId="4" fontId="7" fillId="0" borderId="1" xfId="0" applyNumberFormat="1" applyFont="1" applyBorder="1" applyAlignment="1" applyProtection="1">
      <alignment horizontal="left" vertical="center" wrapText="1"/>
      <protection hidden="1"/>
    </xf>
    <xf numFmtId="0" fontId="31" fillId="0" borderId="0" xfId="0" applyFont="1"/>
    <xf numFmtId="4" fontId="31" fillId="0" borderId="0" xfId="0" applyNumberFormat="1" applyFont="1"/>
    <xf numFmtId="9" fontId="31" fillId="0" borderId="0" xfId="0" applyNumberFormat="1" applyFont="1"/>
    <xf numFmtId="164" fontId="31" fillId="0" borderId="0" xfId="0" applyNumberFormat="1" applyFont="1"/>
    <xf numFmtId="4" fontId="0" fillId="0" borderId="1" xfId="0" applyNumberFormat="1" applyBorder="1" applyAlignment="1">
      <alignment horizontal="right" vertical="center"/>
    </xf>
    <xf numFmtId="0" fontId="28" fillId="0" borderId="1" xfId="0" applyFont="1" applyBorder="1" applyAlignment="1">
      <alignment vertical="center" wrapText="1"/>
    </xf>
    <xf numFmtId="43" fontId="27" fillId="0" borderId="1" xfId="2" applyFont="1" applyBorder="1" applyAlignment="1" applyProtection="1">
      <alignment vertical="center"/>
      <protection locked="0"/>
    </xf>
    <xf numFmtId="164" fontId="0" fillId="0" borderId="1" xfId="0" applyNumberFormat="1" applyBorder="1" applyAlignment="1">
      <alignment vertical="center"/>
    </xf>
    <xf numFmtId="0" fontId="0" fillId="0" borderId="1" xfId="0" applyBorder="1" applyAlignment="1">
      <alignment vertical="center"/>
    </xf>
    <xf numFmtId="4" fontId="0" fillId="0" borderId="0" xfId="0" applyNumberFormat="1" applyAlignment="1">
      <alignment horizontal="left" vertical="center"/>
    </xf>
    <xf numFmtId="0" fontId="33" fillId="0" borderId="1" xfId="0" applyFont="1" applyBorder="1" applyAlignment="1">
      <alignment vertical="center"/>
    </xf>
    <xf numFmtId="4" fontId="27" fillId="0" borderId="1" xfId="0" applyNumberFormat="1" applyFont="1" applyBorder="1" applyAlignment="1" applyProtection="1">
      <alignment vertical="center"/>
      <protection locked="0"/>
    </xf>
    <xf numFmtId="4" fontId="0" fillId="0" borderId="0" xfId="0" applyNumberFormat="1" applyAlignment="1">
      <alignment horizontal="right" vertical="center"/>
    </xf>
    <xf numFmtId="0" fontId="28" fillId="0" borderId="2" xfId="0" applyFont="1" applyBorder="1" applyAlignment="1">
      <alignment vertical="center"/>
    </xf>
    <xf numFmtId="3" fontId="3" fillId="0" borderId="18" xfId="0" applyNumberFormat="1" applyFont="1" applyBorder="1" applyAlignment="1">
      <alignment horizontal="left" vertical="center" wrapText="1"/>
    </xf>
    <xf numFmtId="3" fontId="3" fillId="0" borderId="2" xfId="0" applyNumberFormat="1" applyFont="1" applyBorder="1" applyAlignment="1">
      <alignment horizontal="left" vertical="center" wrapText="1"/>
    </xf>
    <xf numFmtId="3" fontId="3" fillId="0" borderId="14" xfId="0" applyNumberFormat="1" applyFont="1" applyBorder="1" applyAlignment="1">
      <alignment horizontal="left" vertical="center" wrapText="1"/>
    </xf>
    <xf numFmtId="3" fontId="3" fillId="0" borderId="18" xfId="0" applyNumberFormat="1" applyFont="1" applyBorder="1" applyAlignment="1">
      <alignment vertical="center" wrapText="1"/>
    </xf>
    <xf numFmtId="0" fontId="3" fillId="0" borderId="2" xfId="0" applyFont="1" applyBorder="1" applyAlignment="1">
      <alignment horizontal="left" vertical="center"/>
    </xf>
    <xf numFmtId="0" fontId="3" fillId="0" borderId="19" xfId="0" applyFont="1" applyBorder="1" applyAlignment="1">
      <alignment horizontal="left" vertical="center"/>
    </xf>
    <xf numFmtId="8" fontId="0" fillId="0" borderId="0" xfId="0" applyNumberFormat="1" applyAlignment="1">
      <alignment vertical="center"/>
    </xf>
    <xf numFmtId="3" fontId="3" fillId="0" borderId="2" xfId="0" applyNumberFormat="1" applyFont="1" applyBorder="1" applyAlignment="1">
      <alignment horizontal="left" vertical="center"/>
    </xf>
    <xf numFmtId="3" fontId="3" fillId="0" borderId="14" xfId="0" applyNumberFormat="1" applyFont="1" applyBorder="1" applyAlignment="1">
      <alignment horizontal="left" vertical="center"/>
    </xf>
    <xf numFmtId="0" fontId="7" fillId="0" borderId="18" xfId="0" applyFont="1" applyBorder="1" applyAlignment="1">
      <alignment horizontal="left" vertical="center" wrapText="1"/>
    </xf>
    <xf numFmtId="3" fontId="7" fillId="0" borderId="19" xfId="0" applyNumberFormat="1" applyFont="1" applyBorder="1" applyAlignment="1">
      <alignment horizontal="left" vertical="center"/>
    </xf>
    <xf numFmtId="3" fontId="7" fillId="0" borderId="16" xfId="0" applyNumberFormat="1" applyFont="1" applyBorder="1" applyAlignment="1">
      <alignment horizontal="left" vertical="center"/>
    </xf>
    <xf numFmtId="0" fontId="7" fillId="3" borderId="2" xfId="0" applyFont="1" applyFill="1" applyBorder="1" applyAlignment="1">
      <alignment horizontal="left" vertical="center" wrapText="1"/>
    </xf>
    <xf numFmtId="3" fontId="6" fillId="3" borderId="2" xfId="0" applyNumberFormat="1" applyFont="1" applyFill="1" applyBorder="1" applyAlignment="1">
      <alignment horizontal="left" vertical="center"/>
    </xf>
    <xf numFmtId="3" fontId="7" fillId="0" borderId="18" xfId="0" applyNumberFormat="1" applyFont="1" applyBorder="1" applyAlignment="1">
      <alignment horizontal="left" vertical="center" wrapText="1"/>
    </xf>
    <xf numFmtId="3" fontId="6" fillId="4" borderId="19" xfId="0" applyNumberFormat="1" applyFont="1" applyFill="1" applyBorder="1" applyAlignment="1">
      <alignment horizontal="left" vertical="center"/>
    </xf>
    <xf numFmtId="4" fontId="24" fillId="0" borderId="1" xfId="0" applyNumberFormat="1" applyFont="1" applyBorder="1" applyAlignment="1">
      <alignment horizontal="right" vertical="center"/>
    </xf>
    <xf numFmtId="4" fontId="24" fillId="0" borderId="0" xfId="0" applyNumberFormat="1" applyFont="1" applyAlignment="1">
      <alignment horizontal="right" vertical="center"/>
    </xf>
    <xf numFmtId="3" fontId="6" fillId="5" borderId="17" xfId="0" applyNumberFormat="1" applyFont="1" applyFill="1" applyBorder="1" applyAlignment="1">
      <alignment horizontal="left" vertical="center"/>
    </xf>
    <xf numFmtId="9" fontId="0" fillId="0" borderId="0" xfId="3" applyFont="1" applyFill="1" applyBorder="1" applyAlignment="1">
      <alignment horizontal="right" vertical="center"/>
    </xf>
    <xf numFmtId="0" fontId="0" fillId="0" borderId="1" xfId="0" applyBorder="1" applyAlignment="1">
      <alignment horizontal="left" vertical="center"/>
    </xf>
    <xf numFmtId="10" fontId="0" fillId="0" borderId="1" xfId="3" applyNumberFormat="1" applyFont="1" applyBorder="1" applyAlignment="1">
      <alignment horizontal="right" vertical="center"/>
    </xf>
    <xf numFmtId="4" fontId="0" fillId="0" borderId="1" xfId="0" quotePrefix="1" applyNumberFormat="1" applyBorder="1" applyAlignment="1">
      <alignment horizontal="right" vertical="center"/>
    </xf>
    <xf numFmtId="10" fontId="31" fillId="0" borderId="1" xfId="3" applyNumberFormat="1" applyFont="1" applyBorder="1" applyAlignment="1">
      <alignment horizontal="right" vertical="center"/>
    </xf>
    <xf numFmtId="0" fontId="0" fillId="0" borderId="1" xfId="0" applyBorder="1" applyAlignment="1">
      <alignment vertical="center" wrapText="1"/>
    </xf>
    <xf numFmtId="4" fontId="0" fillId="0" borderId="1" xfId="0" quotePrefix="1" applyNumberFormat="1" applyBorder="1" applyAlignment="1">
      <alignment horizontal="right" vertical="center" wrapText="1"/>
    </xf>
    <xf numFmtId="49" fontId="24" fillId="0" borderId="6" xfId="0" applyNumberFormat="1" applyFont="1" applyBorder="1" applyAlignment="1">
      <alignment vertical="center"/>
    </xf>
    <xf numFmtId="43" fontId="32" fillId="0" borderId="6" xfId="2" applyFont="1" applyBorder="1" applyAlignment="1" applyProtection="1">
      <alignment vertical="center"/>
      <protection locked="0"/>
    </xf>
    <xf numFmtId="4" fontId="24" fillId="9" borderId="6" xfId="0" applyNumberFormat="1" applyFont="1" applyFill="1" applyBorder="1" applyAlignment="1">
      <alignment horizontal="right" vertical="center"/>
    </xf>
    <xf numFmtId="49" fontId="0" fillId="0" borderId="22" xfId="0" applyNumberFormat="1" applyBorder="1" applyAlignment="1">
      <alignment vertical="center"/>
    </xf>
    <xf numFmtId="4" fontId="0" fillId="9" borderId="24" xfId="0" applyNumberFormat="1" applyFill="1" applyBorder="1" applyAlignment="1">
      <alignment horizontal="right" vertical="center"/>
    </xf>
    <xf numFmtId="49" fontId="24" fillId="0" borderId="22" xfId="0" applyNumberFormat="1" applyFont="1" applyBorder="1" applyAlignment="1">
      <alignment vertical="center"/>
    </xf>
    <xf numFmtId="4" fontId="24" fillId="8" borderId="24" xfId="0" applyNumberFormat="1" applyFont="1" applyFill="1" applyBorder="1" applyAlignment="1">
      <alignment horizontal="right" vertical="center" wrapText="1"/>
    </xf>
    <xf numFmtId="49" fontId="0" fillId="0" borderId="23" xfId="0" applyNumberFormat="1" applyBorder="1" applyAlignment="1">
      <alignment vertical="center"/>
    </xf>
    <xf numFmtId="0" fontId="9" fillId="0" borderId="0" xfId="0" applyFont="1" applyAlignment="1">
      <alignment wrapText="1"/>
    </xf>
    <xf numFmtId="0" fontId="10" fillId="0" borderId="0" xfId="0" applyFont="1" applyAlignment="1">
      <alignment horizontal="center" vertical="center"/>
    </xf>
    <xf numFmtId="0" fontId="11" fillId="0" borderId="0" xfId="0" applyFont="1" applyAlignment="1">
      <alignment vertical="center"/>
    </xf>
    <xf numFmtId="168" fontId="12" fillId="6" borderId="8" xfId="0" applyNumberFormat="1" applyFont="1" applyFill="1" applyBorder="1" applyAlignment="1">
      <alignment vertical="center"/>
    </xf>
    <xf numFmtId="0" fontId="13" fillId="0" borderId="0" xfId="0" applyFont="1"/>
    <xf numFmtId="0" fontId="10" fillId="0" borderId="0" xfId="0" applyFont="1"/>
    <xf numFmtId="0" fontId="14" fillId="0" borderId="0" xfId="0" applyFont="1"/>
    <xf numFmtId="0" fontId="15" fillId="0" borderId="0" xfId="0" applyFont="1"/>
    <xf numFmtId="0" fontId="15" fillId="0" borderId="0" xfId="0" applyFont="1" applyAlignment="1">
      <alignment horizontal="right"/>
    </xf>
    <xf numFmtId="10" fontId="16" fillId="0" borderId="0" xfId="0" applyNumberFormat="1" applyFont="1"/>
    <xf numFmtId="169" fontId="0" fillId="0" borderId="0" xfId="3" applyNumberFormat="1" applyFont="1" applyFill="1" applyBorder="1" applyAlignment="1" applyProtection="1"/>
    <xf numFmtId="10" fontId="0" fillId="0" borderId="0" xfId="0" applyNumberFormat="1"/>
    <xf numFmtId="170" fontId="16" fillId="0" borderId="0" xfId="0" applyNumberFormat="1" applyFont="1"/>
    <xf numFmtId="171" fontId="0" fillId="0" borderId="0" xfId="0" applyNumberFormat="1"/>
    <xf numFmtId="1" fontId="16" fillId="0" borderId="0" xfId="0" applyNumberFormat="1" applyFont="1"/>
    <xf numFmtId="0" fontId="13" fillId="0" borderId="0" xfId="0" applyFont="1" applyAlignment="1">
      <alignment horizontal="right"/>
    </xf>
    <xf numFmtId="172" fontId="13" fillId="0" borderId="0" xfId="2" applyNumberFormat="1" applyFont="1" applyFill="1" applyBorder="1" applyAlignment="1" applyProtection="1"/>
    <xf numFmtId="171" fontId="13" fillId="0" borderId="0" xfId="0" applyNumberFormat="1" applyFont="1"/>
    <xf numFmtId="172" fontId="13" fillId="0" borderId="0" xfId="0" applyNumberFormat="1" applyFont="1" applyAlignment="1">
      <alignment horizontal="right"/>
    </xf>
    <xf numFmtId="172" fontId="13" fillId="0" borderId="0" xfId="0" applyNumberFormat="1" applyFont="1"/>
    <xf numFmtId="171" fontId="0" fillId="0" borderId="0" xfId="2" applyNumberFormat="1" applyFont="1" applyFill="1" applyBorder="1" applyAlignment="1" applyProtection="1"/>
    <xf numFmtId="172" fontId="0" fillId="0" borderId="0" xfId="0" applyNumberFormat="1"/>
    <xf numFmtId="172" fontId="0" fillId="0" borderId="0" xfId="2" applyNumberFormat="1" applyFont="1" applyFill="1" applyBorder="1" applyAlignment="1" applyProtection="1"/>
    <xf numFmtId="43" fontId="0" fillId="0" borderId="0" xfId="2" applyFont="1" applyFill="1" applyBorder="1" applyAlignment="1" applyProtection="1"/>
    <xf numFmtId="0" fontId="18" fillId="0" borderId="0" xfId="0" applyFont="1" applyAlignment="1">
      <alignment horizontal="right"/>
    </xf>
    <xf numFmtId="171" fontId="0" fillId="0" borderId="9" xfId="0" applyNumberFormat="1" applyBorder="1"/>
    <xf numFmtId="0" fontId="15" fillId="6" borderId="0" xfId="0" applyFont="1" applyFill="1" applyAlignment="1">
      <alignment horizontal="right"/>
    </xf>
    <xf numFmtId="171" fontId="15" fillId="6" borderId="0" xfId="0" applyNumberFormat="1" applyFont="1" applyFill="1"/>
    <xf numFmtId="164" fontId="31" fillId="0" borderId="1" xfId="0" applyNumberFormat="1" applyFont="1" applyBorder="1" applyAlignment="1">
      <alignment vertical="center"/>
    </xf>
    <xf numFmtId="9" fontId="4" fillId="0" borderId="10" xfId="3" applyFont="1" applyFill="1" applyBorder="1" applyAlignment="1" applyProtection="1">
      <alignment vertical="center"/>
      <protection locked="0"/>
    </xf>
    <xf numFmtId="9" fontId="4" fillId="0" borderId="15" xfId="3" applyFont="1" applyFill="1" applyBorder="1" applyAlignment="1" applyProtection="1">
      <alignment vertical="center"/>
      <protection locked="0"/>
    </xf>
    <xf numFmtId="1" fontId="4" fillId="0" borderId="15" xfId="2" applyNumberFormat="1" applyFont="1" applyFill="1" applyBorder="1" applyAlignment="1" applyProtection="1">
      <alignment vertical="center"/>
      <protection locked="0"/>
    </xf>
    <xf numFmtId="0" fontId="3" fillId="0" borderId="21" xfId="0" applyFont="1" applyBorder="1" applyAlignment="1">
      <alignment vertical="center" wrapText="1"/>
    </xf>
    <xf numFmtId="10" fontId="3" fillId="0" borderId="4" xfId="0" applyNumberFormat="1" applyFont="1" applyBorder="1" applyAlignment="1">
      <alignment vertical="center"/>
    </xf>
    <xf numFmtId="10" fontId="3" fillId="0" borderId="15" xfId="0" applyNumberFormat="1" applyFont="1" applyBorder="1" applyAlignment="1">
      <alignment vertical="center"/>
    </xf>
    <xf numFmtId="43" fontId="29" fillId="0" borderId="1" xfId="2" applyFont="1" applyBorder="1" applyAlignment="1" applyProtection="1">
      <alignment horizontal="left" vertical="center" wrapText="1"/>
      <protection locked="0"/>
    </xf>
    <xf numFmtId="9" fontId="3" fillId="7" borderId="13" xfId="3" applyFont="1" applyFill="1" applyBorder="1" applyAlignment="1" applyProtection="1">
      <alignment vertical="center"/>
    </xf>
    <xf numFmtId="9" fontId="3" fillId="7" borderId="15" xfId="3" applyFont="1" applyFill="1" applyBorder="1" applyAlignment="1" applyProtection="1">
      <alignment vertical="center"/>
    </xf>
    <xf numFmtId="9" fontId="3" fillId="7" borderId="0" xfId="3" applyFont="1" applyFill="1" applyBorder="1" applyAlignment="1" applyProtection="1">
      <alignment vertical="center"/>
    </xf>
    <xf numFmtId="9" fontId="3" fillId="7" borderId="10" xfId="3" applyFont="1" applyFill="1" applyBorder="1" applyAlignment="1" applyProtection="1">
      <alignment vertical="center"/>
    </xf>
    <xf numFmtId="9" fontId="3" fillId="7" borderId="17" xfId="3" applyFont="1" applyFill="1" applyBorder="1" applyAlignment="1" applyProtection="1">
      <alignment vertical="center"/>
    </xf>
    <xf numFmtId="9" fontId="3" fillId="7" borderId="11" xfId="3" applyFont="1" applyFill="1" applyBorder="1" applyAlignment="1" applyProtection="1">
      <alignment vertical="center"/>
    </xf>
    <xf numFmtId="9" fontId="3" fillId="7" borderId="12" xfId="3" applyFont="1" applyFill="1" applyBorder="1" applyAlignment="1" applyProtection="1">
      <alignment vertical="center"/>
    </xf>
    <xf numFmtId="0" fontId="4" fillId="0" borderId="20" xfId="0" applyFont="1" applyBorder="1" applyAlignment="1" applyProtection="1">
      <alignment vertical="center" wrapText="1"/>
      <protection locked="0"/>
    </xf>
    <xf numFmtId="0" fontId="0" fillId="0" borderId="0" xfId="0" quotePrefix="1" applyAlignment="1">
      <alignment vertical="center" wrapText="1"/>
    </xf>
    <xf numFmtId="43" fontId="6" fillId="4" borderId="4" xfId="2" applyFont="1" applyFill="1" applyBorder="1" applyAlignment="1" applyProtection="1">
      <alignment horizontal="right" vertical="center"/>
    </xf>
    <xf numFmtId="43" fontId="6" fillId="5" borderId="4" xfId="2" applyFont="1" applyFill="1" applyBorder="1" applyAlignment="1" applyProtection="1">
      <alignment horizontal="right" vertical="center"/>
    </xf>
    <xf numFmtId="43" fontId="31" fillId="7" borderId="14" xfId="2" applyFont="1" applyFill="1" applyBorder="1" applyAlignment="1" applyProtection="1">
      <alignment vertical="center"/>
    </xf>
    <xf numFmtId="43" fontId="31" fillId="7" borderId="13" xfId="2" applyFont="1" applyFill="1" applyBorder="1" applyAlignment="1" applyProtection="1">
      <alignment vertical="center"/>
    </xf>
    <xf numFmtId="43" fontId="31" fillId="7" borderId="15" xfId="2" applyFont="1" applyFill="1" applyBorder="1" applyAlignment="1" applyProtection="1">
      <alignment vertical="center"/>
    </xf>
    <xf numFmtId="43" fontId="31" fillId="7" borderId="16" xfId="2" applyFont="1" applyFill="1" applyBorder="1" applyAlignment="1" applyProtection="1">
      <alignment vertical="center"/>
    </xf>
    <xf numFmtId="43" fontId="31" fillId="7" borderId="0" xfId="2" applyFont="1" applyFill="1" applyBorder="1" applyAlignment="1" applyProtection="1">
      <alignment vertical="center"/>
    </xf>
    <xf numFmtId="43" fontId="31" fillId="7" borderId="10" xfId="2" applyFont="1" applyFill="1" applyBorder="1" applyAlignment="1" applyProtection="1">
      <alignment vertical="center"/>
    </xf>
    <xf numFmtId="43" fontId="34" fillId="7" borderId="16" xfId="2" applyFont="1" applyFill="1" applyBorder="1" applyAlignment="1" applyProtection="1">
      <alignment vertical="center"/>
    </xf>
    <xf numFmtId="43" fontId="34" fillId="7" borderId="0" xfId="2" quotePrefix="1" applyFont="1" applyFill="1" applyBorder="1" applyAlignment="1" applyProtection="1">
      <alignment vertical="center"/>
    </xf>
    <xf numFmtId="43" fontId="34" fillId="7" borderId="0" xfId="2" applyFont="1" applyFill="1" applyBorder="1" applyAlignment="1" applyProtection="1">
      <alignment vertical="center"/>
    </xf>
    <xf numFmtId="43" fontId="34" fillId="7" borderId="10" xfId="2" applyFont="1" applyFill="1" applyBorder="1" applyAlignment="1" applyProtection="1">
      <alignment vertical="center"/>
    </xf>
    <xf numFmtId="43" fontId="34" fillId="7" borderId="17" xfId="2" applyFont="1" applyFill="1" applyBorder="1" applyAlignment="1" applyProtection="1">
      <alignment vertical="center"/>
    </xf>
    <xf numFmtId="43" fontId="34" fillId="7" borderId="11" xfId="2" applyFont="1" applyFill="1" applyBorder="1" applyAlignment="1" applyProtection="1">
      <alignment vertical="center"/>
    </xf>
    <xf numFmtId="43" fontId="34" fillId="7" borderId="12" xfId="2" applyFont="1" applyFill="1" applyBorder="1" applyAlignment="1" applyProtection="1">
      <alignment vertical="center"/>
    </xf>
    <xf numFmtId="4" fontId="36" fillId="0" borderId="1" xfId="0" quotePrefix="1" applyNumberFormat="1" applyFont="1" applyBorder="1" applyAlignment="1" applyProtection="1">
      <alignment horizontal="right" vertical="center" wrapText="1"/>
      <protection locked="0"/>
    </xf>
    <xf numFmtId="4" fontId="25" fillId="0" borderId="1" xfId="0" quotePrefix="1" applyNumberFormat="1" applyFont="1" applyBorder="1" applyAlignment="1" applyProtection="1">
      <alignment horizontal="right" vertical="center" wrapText="1"/>
      <protection locked="0"/>
    </xf>
    <xf numFmtId="0" fontId="24" fillId="0" borderId="1" xfId="0" applyFont="1" applyBorder="1" applyAlignment="1">
      <alignment horizontal="left" vertical="center"/>
    </xf>
    <xf numFmtId="0" fontId="31" fillId="0" borderId="0" xfId="0" applyFont="1" applyAlignment="1">
      <alignment horizontal="left" wrapText="1"/>
    </xf>
    <xf numFmtId="0" fontId="7" fillId="0" borderId="6"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4">
    <cellStyle name="Euro" xfId="1" xr:uid="{00000000-0005-0000-0000-000000000000}"/>
    <cellStyle name="Migliaia" xfId="2" builtinId="3"/>
    <cellStyle name="Normale" xfId="0" builtinId="0"/>
    <cellStyle name="Percentuale" xfId="3" builtinId="5"/>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91440</xdr:colOff>
      <xdr:row>0</xdr:row>
      <xdr:rowOff>30480</xdr:rowOff>
    </xdr:from>
    <xdr:to>
      <xdr:col>1</xdr:col>
      <xdr:colOff>1465094</xdr:colOff>
      <xdr:row>4</xdr:row>
      <xdr:rowOff>152400</xdr:rowOff>
    </xdr:to>
    <xdr:pic>
      <xdr:nvPicPr>
        <xdr:cNvPr id="4" name="Immagine 3">
          <a:extLst>
            <a:ext uri="{FF2B5EF4-FFF2-40B4-BE49-F238E27FC236}">
              <a16:creationId xmlns:a16="http://schemas.microsoft.com/office/drawing/2014/main" id="{9FE75E92-9772-47B8-897C-28618B5D3BD0}"/>
            </a:ext>
          </a:extLst>
        </xdr:cNvPr>
        <xdr:cNvPicPr>
          <a:picLocks noChangeAspect="1"/>
        </xdr:cNvPicPr>
      </xdr:nvPicPr>
      <xdr:blipFill rotWithShape="1">
        <a:blip xmlns:r="http://schemas.openxmlformats.org/officeDocument/2006/relationships" r:embed="rId1"/>
        <a:srcRect t="12768" b="17346"/>
        <a:stretch/>
      </xdr:blipFill>
      <xdr:spPr>
        <a:xfrm>
          <a:off x="91440" y="30480"/>
          <a:ext cx="6120914" cy="792480"/>
        </a:xfrm>
        <a:prstGeom prst="rect">
          <a:avLst/>
        </a:prstGeom>
      </xdr:spPr>
    </xdr:pic>
    <xdr:clientData/>
  </xdr:twoCellAnchor>
  <xdr:twoCellAnchor editAs="oneCell">
    <xdr:from>
      <xdr:col>0</xdr:col>
      <xdr:colOff>251460</xdr:colOff>
      <xdr:row>56</xdr:row>
      <xdr:rowOff>106680</xdr:rowOff>
    </xdr:from>
    <xdr:to>
      <xdr:col>0</xdr:col>
      <xdr:colOff>1562214</xdr:colOff>
      <xdr:row>60</xdr:row>
      <xdr:rowOff>70159</xdr:rowOff>
    </xdr:to>
    <xdr:pic>
      <xdr:nvPicPr>
        <xdr:cNvPr id="7" name="Immagine 6">
          <a:extLst>
            <a:ext uri="{FF2B5EF4-FFF2-40B4-BE49-F238E27FC236}">
              <a16:creationId xmlns:a16="http://schemas.microsoft.com/office/drawing/2014/main" id="{20FFFD36-7AB6-4D36-B813-7F3C60AC0DA5}"/>
            </a:ext>
          </a:extLst>
        </xdr:cNvPr>
        <xdr:cNvPicPr>
          <a:picLocks noChangeAspect="1"/>
        </xdr:cNvPicPr>
      </xdr:nvPicPr>
      <xdr:blipFill>
        <a:blip xmlns:r="http://schemas.openxmlformats.org/officeDocument/2006/relationships" r:embed="rId2"/>
        <a:stretch>
          <a:fillRect/>
        </a:stretch>
      </xdr:blipFill>
      <xdr:spPr>
        <a:xfrm>
          <a:off x="251460" y="14119860"/>
          <a:ext cx="1310754" cy="63403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B12E6-125F-4B87-AA87-39FBE84A7A08}">
  <sheetPr>
    <tabColor rgb="FF92D050"/>
  </sheetPr>
  <dimension ref="A7:V69"/>
  <sheetViews>
    <sheetView tabSelected="1" zoomScaleNormal="100" workbookViewId="0">
      <pane xSplit="1" ySplit="9" topLeftCell="B10" activePane="bottomRight" state="frozen"/>
      <selection pane="topRight" activeCell="B1" sqref="B1"/>
      <selection pane="bottomLeft" activeCell="A4" sqref="A4"/>
      <selection pane="bottomRight" activeCell="B46" sqref="B46"/>
    </sheetView>
  </sheetViews>
  <sheetFormatPr defaultRowHeight="13.2" x14ac:dyDescent="0.25"/>
  <cols>
    <col min="1" max="1" width="69.21875" customWidth="1"/>
    <col min="2" max="11" width="25.6640625" customWidth="1"/>
    <col min="12" max="12" width="19.33203125" customWidth="1"/>
    <col min="13" max="13" width="59.5546875" customWidth="1"/>
    <col min="14" max="14" width="21" bestFit="1" customWidth="1"/>
    <col min="15" max="15" width="17" customWidth="1"/>
    <col min="16" max="16" width="22.6640625" bestFit="1" customWidth="1"/>
    <col min="17" max="17" width="42.44140625" bestFit="1" customWidth="1"/>
    <col min="18" max="18" width="2.109375" bestFit="1" customWidth="1"/>
    <col min="20" max="20" width="10.5546875" bestFit="1" customWidth="1"/>
    <col min="21" max="21" width="12.5546875" bestFit="1" customWidth="1"/>
    <col min="22" max="22" width="12.44140625" bestFit="1" customWidth="1"/>
    <col min="23" max="23" width="14.44140625" bestFit="1" customWidth="1"/>
    <col min="24" max="24" width="14" customWidth="1"/>
    <col min="25" max="25" width="13.5546875" customWidth="1"/>
    <col min="26" max="26" width="42.44140625" bestFit="1" customWidth="1"/>
    <col min="27" max="27" width="2.109375" bestFit="1" customWidth="1"/>
  </cols>
  <sheetData>
    <row r="7" spans="1:21" ht="14.4" x14ac:dyDescent="0.25">
      <c r="A7" s="21" t="s">
        <v>0</v>
      </c>
      <c r="B7" s="21"/>
      <c r="C7" s="21"/>
      <c r="D7" s="2"/>
      <c r="E7" s="2"/>
      <c r="F7" s="2"/>
      <c r="G7" s="2"/>
      <c r="H7" s="2"/>
      <c r="I7" s="2"/>
      <c r="J7" s="2"/>
      <c r="K7" s="2"/>
      <c r="L7" s="2"/>
      <c r="M7" s="2"/>
      <c r="N7" s="2"/>
      <c r="O7" s="2"/>
      <c r="P7" s="2"/>
      <c r="Q7" s="2"/>
      <c r="R7" s="2"/>
      <c r="S7" s="2"/>
      <c r="T7" s="2"/>
      <c r="U7" s="2"/>
    </row>
    <row r="8" spans="1:21" ht="14.4" x14ac:dyDescent="0.25">
      <c r="A8" s="22" t="s">
        <v>1</v>
      </c>
      <c r="B8" s="21"/>
      <c r="C8" s="21"/>
      <c r="D8" s="2"/>
      <c r="E8" s="2"/>
      <c r="F8" s="2"/>
      <c r="G8" s="2"/>
      <c r="H8" s="2"/>
      <c r="I8" s="2"/>
      <c r="J8" s="2"/>
      <c r="K8" s="2"/>
      <c r="L8" s="2"/>
      <c r="M8" s="2"/>
      <c r="N8" s="2"/>
      <c r="O8" s="2"/>
      <c r="P8" s="2"/>
      <c r="Q8" s="2"/>
      <c r="R8" s="2"/>
      <c r="S8" s="2"/>
      <c r="T8" s="2"/>
      <c r="U8" s="2"/>
    </row>
    <row r="9" spans="1:21" ht="14.4" x14ac:dyDescent="0.25">
      <c r="A9" s="28"/>
      <c r="B9" s="27" t="s">
        <v>81</v>
      </c>
      <c r="C9" s="27" t="s">
        <v>82</v>
      </c>
      <c r="D9" s="27" t="s">
        <v>83</v>
      </c>
      <c r="E9" s="27" t="s">
        <v>93</v>
      </c>
      <c r="F9" s="27" t="s">
        <v>94</v>
      </c>
      <c r="G9" s="27" t="s">
        <v>95</v>
      </c>
      <c r="H9" s="27" t="s">
        <v>96</v>
      </c>
      <c r="I9" s="27" t="s">
        <v>97</v>
      </c>
      <c r="J9" s="27" t="s">
        <v>98</v>
      </c>
      <c r="K9" s="27" t="s">
        <v>99</v>
      </c>
      <c r="L9" s="27" t="s">
        <v>2</v>
      </c>
      <c r="M9" s="27" t="s">
        <v>3</v>
      </c>
      <c r="N9" s="1"/>
      <c r="O9" s="1"/>
      <c r="P9" s="1"/>
      <c r="Q9" s="1"/>
      <c r="R9" s="1"/>
      <c r="S9" s="1"/>
      <c r="T9" s="1"/>
      <c r="U9" s="1"/>
    </row>
    <row r="10" spans="1:21" s="32" customFormat="1" ht="82.8" x14ac:dyDescent="0.25">
      <c r="A10" s="23" t="s">
        <v>4</v>
      </c>
      <c r="B10" s="31">
        <v>50000</v>
      </c>
      <c r="C10" s="31">
        <v>100000</v>
      </c>
      <c r="D10" s="31">
        <v>20000</v>
      </c>
      <c r="E10" s="31">
        <v>0</v>
      </c>
      <c r="F10" s="31">
        <v>0</v>
      </c>
      <c r="G10" s="31">
        <v>0</v>
      </c>
      <c r="H10" s="31">
        <v>0</v>
      </c>
      <c r="I10" s="31">
        <v>0</v>
      </c>
      <c r="J10" s="31">
        <v>0</v>
      </c>
      <c r="K10" s="31">
        <v>0</v>
      </c>
      <c r="L10" s="25">
        <f>SUM(B10:K10)</f>
        <v>170000</v>
      </c>
      <c r="M10" s="33" t="s">
        <v>106</v>
      </c>
      <c r="N10" s="29"/>
      <c r="O10" s="1"/>
      <c r="P10" s="1"/>
      <c r="Q10" s="1"/>
      <c r="R10" s="1"/>
      <c r="S10" s="1"/>
      <c r="T10" s="1"/>
      <c r="U10" s="1"/>
    </row>
    <row r="11" spans="1:21" s="32" customFormat="1" ht="57.6" x14ac:dyDescent="0.25">
      <c r="A11" s="23" t="s">
        <v>100</v>
      </c>
      <c r="B11" s="137" t="s">
        <v>85</v>
      </c>
      <c r="C11" s="137" t="s">
        <v>86</v>
      </c>
      <c r="D11" s="137" t="s">
        <v>88</v>
      </c>
      <c r="E11" s="137" t="s">
        <v>92</v>
      </c>
      <c r="F11" s="137" t="s">
        <v>92</v>
      </c>
      <c r="G11" s="137" t="s">
        <v>92</v>
      </c>
      <c r="H11" s="137" t="s">
        <v>92</v>
      </c>
      <c r="I11" s="137" t="s">
        <v>92</v>
      </c>
      <c r="J11" s="137" t="s">
        <v>92</v>
      </c>
      <c r="K11" s="137" t="s">
        <v>92</v>
      </c>
      <c r="L11" s="26" t="s">
        <v>5</v>
      </c>
      <c r="M11" s="34"/>
      <c r="O11" s="13"/>
      <c r="P11" s="13"/>
      <c r="Q11" s="1"/>
      <c r="R11" s="1"/>
      <c r="S11" s="1"/>
      <c r="T11" s="1"/>
      <c r="U11" s="1"/>
    </row>
    <row r="12" spans="1:21" s="32" customFormat="1" ht="41.4" x14ac:dyDescent="0.25">
      <c r="A12" s="23" t="s">
        <v>6</v>
      </c>
      <c r="B12" s="24">
        <v>0.6</v>
      </c>
      <c r="C12" s="24">
        <v>0.6</v>
      </c>
      <c r="D12" s="24">
        <v>0.6</v>
      </c>
      <c r="E12" s="24">
        <v>0</v>
      </c>
      <c r="F12" s="24">
        <v>0</v>
      </c>
      <c r="G12" s="24">
        <v>0</v>
      </c>
      <c r="H12" s="24">
        <v>0</v>
      </c>
      <c r="I12" s="24">
        <v>0</v>
      </c>
      <c r="J12" s="24">
        <v>0</v>
      </c>
      <c r="K12" s="24">
        <v>0</v>
      </c>
      <c r="L12" s="26" t="s">
        <v>5</v>
      </c>
      <c r="M12" s="33" t="s">
        <v>7</v>
      </c>
      <c r="N12" s="30"/>
      <c r="O12" s="13"/>
      <c r="P12" s="13"/>
      <c r="Q12" s="1"/>
      <c r="R12" s="1"/>
      <c r="S12" s="1"/>
      <c r="T12" s="1"/>
      <c r="U12" s="1"/>
    </row>
    <row r="13" spans="1:21" s="32" customFormat="1" ht="68.400000000000006" customHeight="1" x14ac:dyDescent="0.25">
      <c r="A13" s="23" t="s">
        <v>84</v>
      </c>
      <c r="B13" s="162" t="s">
        <v>101</v>
      </c>
      <c r="C13" s="162" t="s">
        <v>103</v>
      </c>
      <c r="D13" s="162" t="s">
        <v>102</v>
      </c>
      <c r="E13" s="162"/>
      <c r="F13" s="162"/>
      <c r="G13" s="162"/>
      <c r="H13" s="162"/>
      <c r="I13" s="162"/>
      <c r="J13" s="162"/>
      <c r="K13" s="162"/>
      <c r="L13" s="163"/>
      <c r="M13" s="33" t="s">
        <v>91</v>
      </c>
      <c r="N13" s="30"/>
      <c r="O13" s="13"/>
      <c r="P13" s="13"/>
      <c r="Q13" s="1"/>
      <c r="R13" s="1"/>
      <c r="S13" s="1"/>
      <c r="T13" s="1"/>
      <c r="U13" s="1"/>
    </row>
    <row r="14" spans="1:21" s="32" customFormat="1" ht="14.4" x14ac:dyDescent="0.25">
      <c r="A14" s="23" t="s">
        <v>8</v>
      </c>
      <c r="B14" s="58">
        <f>B10*B12</f>
        <v>30000</v>
      </c>
      <c r="C14" s="58">
        <f>C10*C12</f>
        <v>60000</v>
      </c>
      <c r="D14" s="58">
        <f>D10*D12</f>
        <v>12000</v>
      </c>
      <c r="E14" s="58">
        <f t="shared" ref="E14:K14" si="0">E10*E12</f>
        <v>0</v>
      </c>
      <c r="F14" s="58">
        <f t="shared" si="0"/>
        <v>0</v>
      </c>
      <c r="G14" s="58">
        <f t="shared" si="0"/>
        <v>0</v>
      </c>
      <c r="H14" s="58">
        <f t="shared" si="0"/>
        <v>0</v>
      </c>
      <c r="I14" s="58">
        <f t="shared" si="0"/>
        <v>0</v>
      </c>
      <c r="J14" s="58">
        <f t="shared" si="0"/>
        <v>0</v>
      </c>
      <c r="K14" s="58">
        <f t="shared" si="0"/>
        <v>0</v>
      </c>
      <c r="L14" s="25">
        <f t="shared" ref="L14:L19" si="1">SUM(B14:K14)</f>
        <v>102000</v>
      </c>
      <c r="M14" s="35"/>
      <c r="N14" s="14"/>
      <c r="O14" s="14"/>
      <c r="P14" s="14"/>
      <c r="Q14" s="1"/>
      <c r="R14" s="1"/>
      <c r="S14" s="1"/>
      <c r="T14" s="1"/>
      <c r="U14" s="1"/>
    </row>
    <row r="15" spans="1:21" s="32" customFormat="1" ht="27.6" customHeight="1" x14ac:dyDescent="0.25">
      <c r="A15" s="59" t="s">
        <v>9</v>
      </c>
      <c r="B15" s="60">
        <v>0</v>
      </c>
      <c r="C15" s="60">
        <v>10000</v>
      </c>
      <c r="D15" s="60">
        <v>0</v>
      </c>
      <c r="E15" s="60"/>
      <c r="F15" s="60"/>
      <c r="G15" s="60"/>
      <c r="H15" s="60"/>
      <c r="I15" s="60"/>
      <c r="J15" s="60"/>
      <c r="K15" s="60"/>
      <c r="L15" s="25">
        <f t="shared" si="1"/>
        <v>10000</v>
      </c>
      <c r="M15" s="35" t="s">
        <v>10</v>
      </c>
      <c r="N15" s="14"/>
      <c r="O15" s="14"/>
      <c r="P15" s="14"/>
      <c r="Q15" s="1"/>
      <c r="R15" s="1"/>
      <c r="S15" s="1"/>
      <c r="T15" s="1"/>
      <c r="U15" s="1"/>
    </row>
    <row r="16" spans="1:21" s="32" customFormat="1" ht="14.4" x14ac:dyDescent="0.25">
      <c r="A16" s="23" t="s">
        <v>11</v>
      </c>
      <c r="B16" s="61">
        <f>(B10-B14-B15)</f>
        <v>20000</v>
      </c>
      <c r="C16" s="61">
        <f>(C10-C14-C15)</f>
        <v>30000</v>
      </c>
      <c r="D16" s="61">
        <f>(D10-D14-D15)</f>
        <v>8000</v>
      </c>
      <c r="E16" s="61">
        <f t="shared" ref="E16:K16" si="2">(E10-E14-E15)</f>
        <v>0</v>
      </c>
      <c r="F16" s="61">
        <f t="shared" si="2"/>
        <v>0</v>
      </c>
      <c r="G16" s="61">
        <f t="shared" si="2"/>
        <v>0</v>
      </c>
      <c r="H16" s="61">
        <f t="shared" si="2"/>
        <v>0</v>
      </c>
      <c r="I16" s="61">
        <f t="shared" si="2"/>
        <v>0</v>
      </c>
      <c r="J16" s="61">
        <f t="shared" si="2"/>
        <v>0</v>
      </c>
      <c r="K16" s="61">
        <f t="shared" si="2"/>
        <v>0</v>
      </c>
      <c r="L16" s="25">
        <f t="shared" si="1"/>
        <v>58000</v>
      </c>
      <c r="M16" s="62"/>
      <c r="N16" s="63"/>
      <c r="P16" s="1"/>
      <c r="Q16" s="1"/>
      <c r="R16" s="1"/>
      <c r="S16" s="1"/>
      <c r="T16" s="1"/>
      <c r="U16" s="1"/>
    </row>
    <row r="17" spans="1:22" s="32" customFormat="1" ht="55.2" x14ac:dyDescent="0.25">
      <c r="A17" s="64" t="s">
        <v>12</v>
      </c>
      <c r="B17" s="65">
        <v>0</v>
      </c>
      <c r="C17" s="65">
        <v>6600</v>
      </c>
      <c r="D17" s="65">
        <v>0</v>
      </c>
      <c r="E17" s="65"/>
      <c r="F17" s="65"/>
      <c r="G17" s="65"/>
      <c r="H17" s="65"/>
      <c r="I17" s="65"/>
      <c r="J17" s="65"/>
      <c r="K17" s="65"/>
      <c r="L17" s="25">
        <f t="shared" si="1"/>
        <v>6600</v>
      </c>
      <c r="M17" s="53" t="s">
        <v>107</v>
      </c>
      <c r="N17" s="14"/>
      <c r="O17" s="14"/>
      <c r="P17" s="14"/>
      <c r="Q17" s="1"/>
      <c r="R17" s="1"/>
      <c r="S17" s="1"/>
      <c r="T17" s="1"/>
      <c r="U17" s="1"/>
    </row>
    <row r="18" spans="1:22" s="32" customFormat="1" ht="14.4" x14ac:dyDescent="0.25">
      <c r="A18" s="64" t="s">
        <v>13</v>
      </c>
      <c r="B18" s="130">
        <f>B16+B17</f>
        <v>20000</v>
      </c>
      <c r="C18" s="130">
        <f t="shared" ref="C18" si="3">C16+C17</f>
        <v>36600</v>
      </c>
      <c r="D18" s="130">
        <f>D16+D17</f>
        <v>8000</v>
      </c>
      <c r="E18" s="130">
        <f t="shared" ref="E18:K18" si="4">E16+E17</f>
        <v>0</v>
      </c>
      <c r="F18" s="130">
        <f t="shared" si="4"/>
        <v>0</v>
      </c>
      <c r="G18" s="130">
        <f t="shared" si="4"/>
        <v>0</v>
      </c>
      <c r="H18" s="130">
        <f t="shared" si="4"/>
        <v>0</v>
      </c>
      <c r="I18" s="130">
        <f t="shared" si="4"/>
        <v>0</v>
      </c>
      <c r="J18" s="130">
        <f t="shared" si="4"/>
        <v>0</v>
      </c>
      <c r="K18" s="130">
        <f t="shared" si="4"/>
        <v>0</v>
      </c>
      <c r="L18" s="25">
        <f t="shared" si="1"/>
        <v>64600</v>
      </c>
      <c r="M18" s="53"/>
      <c r="N18" s="14"/>
      <c r="O18" s="14"/>
      <c r="P18" s="14"/>
      <c r="Q18" s="1"/>
      <c r="R18" s="1"/>
      <c r="S18" s="1"/>
      <c r="T18" s="1"/>
      <c r="U18" s="1"/>
    </row>
    <row r="19" spans="1:22" s="32" customFormat="1" ht="27.6" x14ac:dyDescent="0.25">
      <c r="A19" s="23" t="s">
        <v>14</v>
      </c>
      <c r="B19" s="50">
        <v>20000</v>
      </c>
      <c r="C19" s="50">
        <v>36000</v>
      </c>
      <c r="D19" s="50">
        <v>8000</v>
      </c>
      <c r="E19" s="50">
        <v>0</v>
      </c>
      <c r="F19" s="50">
        <v>0</v>
      </c>
      <c r="G19" s="50">
        <v>0</v>
      </c>
      <c r="H19" s="50">
        <v>0</v>
      </c>
      <c r="I19" s="50">
        <v>0</v>
      </c>
      <c r="J19" s="50">
        <v>0</v>
      </c>
      <c r="K19" s="50">
        <v>0</v>
      </c>
      <c r="L19" s="25">
        <f t="shared" si="1"/>
        <v>64000</v>
      </c>
      <c r="M19" s="33" t="s">
        <v>108</v>
      </c>
      <c r="P19" s="66"/>
    </row>
    <row r="20" spans="1:22" s="32" customFormat="1" ht="13.8" x14ac:dyDescent="0.25">
      <c r="A20" s="67" t="s">
        <v>15</v>
      </c>
      <c r="B20" s="36"/>
      <c r="C20" s="138"/>
      <c r="D20" s="138"/>
      <c r="E20" s="138"/>
      <c r="F20" s="138"/>
      <c r="G20" s="138"/>
      <c r="H20" s="138"/>
      <c r="I20" s="138"/>
      <c r="J20" s="138"/>
      <c r="K20" s="139"/>
      <c r="L20" s="131">
        <v>0.8</v>
      </c>
      <c r="M20" s="62"/>
      <c r="P20" s="66"/>
    </row>
    <row r="21" spans="1:22" s="32" customFormat="1" ht="13.8" x14ac:dyDescent="0.25">
      <c r="A21" s="67" t="s">
        <v>16</v>
      </c>
      <c r="B21" s="37"/>
      <c r="C21" s="140"/>
      <c r="D21" s="140"/>
      <c r="E21" s="140"/>
      <c r="F21" s="140"/>
      <c r="G21" s="140"/>
      <c r="H21" s="140"/>
      <c r="I21" s="140"/>
      <c r="J21" s="140"/>
      <c r="K21" s="141"/>
      <c r="L21" s="132">
        <v>0.2</v>
      </c>
      <c r="M21" s="62"/>
      <c r="P21" s="66"/>
    </row>
    <row r="22" spans="1:22" s="32" customFormat="1" ht="13.8" x14ac:dyDescent="0.25">
      <c r="A22" s="67" t="s">
        <v>17</v>
      </c>
      <c r="B22" s="37"/>
      <c r="C22" s="140"/>
      <c r="D22" s="140"/>
      <c r="E22" s="140"/>
      <c r="F22" s="140"/>
      <c r="G22" s="140"/>
      <c r="H22" s="140"/>
      <c r="I22" s="140"/>
      <c r="J22" s="140"/>
      <c r="K22" s="141"/>
      <c r="L22" s="133">
        <f>+L26+L29</f>
        <v>120</v>
      </c>
      <c r="M22" s="62"/>
    </row>
    <row r="23" spans="1:22" s="32" customFormat="1" ht="13.8" x14ac:dyDescent="0.25">
      <c r="A23" s="67" t="s">
        <v>18</v>
      </c>
      <c r="B23" s="37"/>
      <c r="C23" s="140"/>
      <c r="D23" s="140"/>
      <c r="E23" s="140"/>
      <c r="F23" s="140"/>
      <c r="G23" s="140"/>
      <c r="H23" s="140"/>
      <c r="I23" s="140"/>
      <c r="J23" s="140"/>
      <c r="K23" s="141"/>
      <c r="L23" s="38">
        <f>MIN(2%,L21)</f>
        <v>0.02</v>
      </c>
      <c r="M23" s="62"/>
      <c r="P23" s="66"/>
    </row>
    <row r="24" spans="1:22" s="32" customFormat="1" ht="14.4" thickBot="1" x14ac:dyDescent="0.3">
      <c r="A24" s="67" t="s">
        <v>19</v>
      </c>
      <c r="B24" s="37"/>
      <c r="C24" s="140"/>
      <c r="D24" s="140"/>
      <c r="E24" s="140"/>
      <c r="F24" s="140"/>
      <c r="G24" s="140"/>
      <c r="H24" s="140"/>
      <c r="I24" s="140"/>
      <c r="J24" s="140"/>
      <c r="K24" s="141"/>
      <c r="L24" s="38">
        <f>MIN(2%,L21)</f>
        <v>0.02</v>
      </c>
      <c r="M24" s="62"/>
      <c r="O24" s="66"/>
      <c r="P24" s="66"/>
    </row>
    <row r="25" spans="1:22" s="32" customFormat="1" ht="13.8" x14ac:dyDescent="0.25">
      <c r="A25" s="68" t="s">
        <v>20</v>
      </c>
      <c r="B25" s="37"/>
      <c r="C25" s="140"/>
      <c r="D25" s="140"/>
      <c r="E25" s="140"/>
      <c r="F25" s="140"/>
      <c r="G25" s="140"/>
      <c r="H25" s="140"/>
      <c r="I25" s="140"/>
      <c r="J25" s="140"/>
      <c r="K25" s="141"/>
      <c r="L25" s="145">
        <v>12</v>
      </c>
      <c r="M25" s="62"/>
      <c r="P25" s="66"/>
    </row>
    <row r="26" spans="1:22" s="32" customFormat="1" ht="13.8" x14ac:dyDescent="0.25">
      <c r="A26" s="69" t="s">
        <v>21</v>
      </c>
      <c r="B26" s="37"/>
      <c r="C26" s="140"/>
      <c r="D26" s="140"/>
      <c r="E26" s="140"/>
      <c r="F26" s="140"/>
      <c r="G26" s="140"/>
      <c r="H26" s="140"/>
      <c r="I26" s="140"/>
      <c r="J26" s="140"/>
      <c r="K26" s="141"/>
      <c r="L26" s="39">
        <v>12</v>
      </c>
      <c r="M26" s="62"/>
      <c r="P26" s="66"/>
    </row>
    <row r="27" spans="1:22" s="32" customFormat="1" ht="14.4" thickBot="1" x14ac:dyDescent="0.3">
      <c r="A27" s="70" t="s">
        <v>22</v>
      </c>
      <c r="B27" s="37"/>
      <c r="C27" s="140"/>
      <c r="D27" s="140"/>
      <c r="E27" s="140"/>
      <c r="F27" s="140"/>
      <c r="G27" s="140"/>
      <c r="H27" s="140"/>
      <c r="I27" s="140"/>
      <c r="J27" s="140"/>
      <c r="K27" s="141"/>
      <c r="L27" s="40">
        <f>L25*L26/12</f>
        <v>12</v>
      </c>
      <c r="M27" s="62"/>
      <c r="P27" s="66"/>
    </row>
    <row r="28" spans="1:22" s="32" customFormat="1" ht="13.8" x14ac:dyDescent="0.25">
      <c r="A28" s="71" t="s">
        <v>23</v>
      </c>
      <c r="B28" s="37"/>
      <c r="C28" s="140"/>
      <c r="D28" s="140"/>
      <c r="E28" s="140"/>
      <c r="F28" s="140"/>
      <c r="G28" s="140"/>
      <c r="H28" s="140"/>
      <c r="I28" s="140"/>
      <c r="J28" s="140"/>
      <c r="K28" s="141"/>
      <c r="L28" s="145">
        <v>12</v>
      </c>
      <c r="M28" s="62"/>
      <c r="P28" s="66"/>
    </row>
    <row r="29" spans="1:22" s="32" customFormat="1" ht="13.8" x14ac:dyDescent="0.25">
      <c r="A29" s="72" t="s">
        <v>24</v>
      </c>
      <c r="B29" s="37"/>
      <c r="C29" s="140"/>
      <c r="D29" s="140"/>
      <c r="E29" s="140"/>
      <c r="F29" s="140"/>
      <c r="G29" s="140"/>
      <c r="H29" s="140"/>
      <c r="I29" s="140"/>
      <c r="J29" s="140"/>
      <c r="K29" s="141"/>
      <c r="L29" s="41">
        <v>108</v>
      </c>
      <c r="M29" s="62"/>
      <c r="P29" s="66"/>
    </row>
    <row r="30" spans="1:22" s="32" customFormat="1" ht="14.4" thickBot="1" x14ac:dyDescent="0.3">
      <c r="A30" s="73" t="s">
        <v>25</v>
      </c>
      <c r="B30" s="37"/>
      <c r="C30" s="140"/>
      <c r="D30" s="140"/>
      <c r="E30" s="140"/>
      <c r="F30" s="140"/>
      <c r="G30" s="140"/>
      <c r="H30" s="140"/>
      <c r="I30" s="140"/>
      <c r="J30" s="140"/>
      <c r="K30" s="141"/>
      <c r="L30" s="134">
        <f>L28*L29/12</f>
        <v>108</v>
      </c>
      <c r="M30" s="62"/>
      <c r="P30" s="66"/>
      <c r="V30" s="74"/>
    </row>
    <row r="31" spans="1:22" s="32" customFormat="1" ht="13.8" x14ac:dyDescent="0.25">
      <c r="A31" s="75" t="s">
        <v>26</v>
      </c>
      <c r="B31" s="37"/>
      <c r="C31" s="140"/>
      <c r="D31" s="140"/>
      <c r="E31" s="140"/>
      <c r="F31" s="140"/>
      <c r="G31" s="140"/>
      <c r="H31" s="140"/>
      <c r="I31" s="140"/>
      <c r="J31" s="140"/>
      <c r="K31" s="141"/>
      <c r="L31" s="135">
        <f>IFERROR(L23/L25,0)</f>
        <v>1.6666666666666668E-3</v>
      </c>
      <c r="M31" s="58"/>
      <c r="N31" s="66"/>
      <c r="O31" s="66"/>
      <c r="P31" s="66"/>
    </row>
    <row r="32" spans="1:22" s="32" customFormat="1" ht="14.4" thickBot="1" x14ac:dyDescent="0.3">
      <c r="A32" s="76" t="s">
        <v>27</v>
      </c>
      <c r="B32" s="37"/>
      <c r="C32" s="140"/>
      <c r="D32" s="140"/>
      <c r="E32" s="140"/>
      <c r="F32" s="140"/>
      <c r="G32" s="140"/>
      <c r="H32" s="140"/>
      <c r="I32" s="140"/>
      <c r="J32" s="140"/>
      <c r="K32" s="141"/>
      <c r="L32" s="136">
        <f>L24/L28</f>
        <v>1.6666666666666668E-3</v>
      </c>
      <c r="M32" s="58"/>
      <c r="N32" s="66"/>
      <c r="O32" s="66"/>
      <c r="P32" s="66"/>
    </row>
    <row r="33" spans="1:16" s="32" customFormat="1" ht="27.6" x14ac:dyDescent="0.25">
      <c r="A33" s="77" t="s">
        <v>28</v>
      </c>
      <c r="B33" s="37"/>
      <c r="C33" s="140"/>
      <c r="D33" s="140"/>
      <c r="E33" s="140"/>
      <c r="F33" s="140"/>
      <c r="G33" s="140"/>
      <c r="H33" s="140"/>
      <c r="I33" s="140"/>
      <c r="J33" s="140"/>
      <c r="K33" s="141"/>
      <c r="L33" s="42">
        <v>2.7099999999999999E-2</v>
      </c>
      <c r="M33" s="58"/>
      <c r="N33" s="66"/>
      <c r="O33" s="66"/>
      <c r="P33" s="66"/>
    </row>
    <row r="34" spans="1:16" s="32" customFormat="1" ht="14.4" thickBot="1" x14ac:dyDescent="0.3">
      <c r="A34" s="78" t="s">
        <v>104</v>
      </c>
      <c r="B34" s="37"/>
      <c r="C34" s="140"/>
      <c r="D34" s="140"/>
      <c r="E34" s="140"/>
      <c r="F34" s="140"/>
      <c r="G34" s="140"/>
      <c r="H34" s="140"/>
      <c r="I34" s="140"/>
      <c r="J34" s="140"/>
      <c r="K34" s="141"/>
      <c r="L34" s="43">
        <v>0.01</v>
      </c>
      <c r="M34" s="58"/>
      <c r="N34" s="66"/>
      <c r="O34" s="66"/>
      <c r="P34" s="66"/>
    </row>
    <row r="35" spans="1:16" s="32" customFormat="1" ht="13.8" x14ac:dyDescent="0.25">
      <c r="A35" s="79" t="s">
        <v>29</v>
      </c>
      <c r="B35" s="37"/>
      <c r="C35" s="140"/>
      <c r="D35" s="140"/>
      <c r="E35" s="140"/>
      <c r="F35" s="140"/>
      <c r="G35" s="140"/>
      <c r="H35" s="140"/>
      <c r="I35" s="140"/>
      <c r="J35" s="140"/>
      <c r="K35" s="141"/>
      <c r="L35" s="44">
        <v>1000</v>
      </c>
      <c r="M35" s="33" t="s">
        <v>30</v>
      </c>
      <c r="N35" s="66"/>
      <c r="O35" s="66"/>
      <c r="P35" s="66"/>
    </row>
    <row r="36" spans="1:16" s="32" customFormat="1" ht="13.8" x14ac:dyDescent="0.25">
      <c r="A36" s="80" t="s">
        <v>31</v>
      </c>
      <c r="B36" s="37"/>
      <c r="C36" s="140"/>
      <c r="D36" s="140"/>
      <c r="E36" s="140"/>
      <c r="F36" s="140"/>
      <c r="G36" s="140"/>
      <c r="H36" s="140"/>
      <c r="I36" s="140"/>
      <c r="J36" s="140"/>
      <c r="K36" s="141"/>
      <c r="L36" s="45">
        <f>MIN(Massimali!B3,L35+L19*L20*L22/12*0.5%)</f>
        <v>3560</v>
      </c>
      <c r="M36" s="58"/>
      <c r="N36" s="66"/>
      <c r="O36" s="66"/>
      <c r="P36" s="66"/>
    </row>
    <row r="37" spans="1:16" s="32" customFormat="1" ht="14.4" thickBot="1" x14ac:dyDescent="0.3">
      <c r="A37" s="81" t="s">
        <v>32</v>
      </c>
      <c r="B37" s="37"/>
      <c r="C37" s="140"/>
      <c r="D37" s="140"/>
      <c r="E37" s="140"/>
      <c r="F37" s="140"/>
      <c r="G37" s="140"/>
      <c r="H37" s="140"/>
      <c r="I37" s="140"/>
      <c r="J37" s="140"/>
      <c r="K37" s="141"/>
      <c r="L37" s="46">
        <f>MIN(Massimali!B2,SUM('FNC-AGRI_contributo interessi'!G3:G26,'FNC-AGRI_contributo interessi'!P3:P122))</f>
        <v>6413.0125762464741</v>
      </c>
      <c r="M37" s="58"/>
      <c r="N37" s="66"/>
      <c r="O37" s="66"/>
      <c r="P37" s="66"/>
    </row>
    <row r="38" spans="1:16" s="32" customFormat="1" ht="27.6" x14ac:dyDescent="0.25">
      <c r="A38" s="82" t="s">
        <v>33</v>
      </c>
      <c r="B38" s="37"/>
      <c r="C38" s="140"/>
      <c r="D38" s="140"/>
      <c r="E38" s="140"/>
      <c r="F38" s="140"/>
      <c r="G38" s="140"/>
      <c r="H38" s="140"/>
      <c r="I38" s="140"/>
      <c r="J38" s="140"/>
      <c r="K38" s="141"/>
      <c r="L38" s="47">
        <v>1.9300000000000001E-2</v>
      </c>
      <c r="M38" s="33" t="s">
        <v>34</v>
      </c>
      <c r="N38" s="66"/>
      <c r="O38" s="66"/>
      <c r="P38" s="66"/>
    </row>
    <row r="39" spans="1:16" s="32" customFormat="1" ht="14.4" thickBot="1" x14ac:dyDescent="0.3">
      <c r="A39" s="83" t="s">
        <v>35</v>
      </c>
      <c r="B39" s="37"/>
      <c r="C39" s="140"/>
      <c r="D39" s="140"/>
      <c r="E39" s="140"/>
      <c r="F39" s="140"/>
      <c r="G39" s="140"/>
      <c r="H39" s="140"/>
      <c r="I39" s="140"/>
      <c r="J39" s="140"/>
      <c r="K39" s="141"/>
      <c r="L39" s="48">
        <f>'FNC-AGRI_ESL riassicurazione'!D1</f>
        <v>6070.4299251631901</v>
      </c>
      <c r="M39" s="84"/>
      <c r="N39" s="85"/>
      <c r="O39" s="85"/>
      <c r="P39" s="85"/>
    </row>
    <row r="40" spans="1:16" s="32" customFormat="1" ht="13.8" x14ac:dyDescent="0.25">
      <c r="A40" s="86" t="s">
        <v>36</v>
      </c>
      <c r="B40" s="142"/>
      <c r="C40" s="143"/>
      <c r="D40" s="143"/>
      <c r="E40" s="143"/>
      <c r="F40" s="143"/>
      <c r="G40" s="143"/>
      <c r="H40" s="143"/>
      <c r="I40" s="143"/>
      <c r="J40" s="143"/>
      <c r="K40" s="144"/>
      <c r="L40" s="49">
        <f>+L36+L37+L39</f>
        <v>16043.442501409663</v>
      </c>
      <c r="M40" s="84"/>
      <c r="N40" s="85"/>
      <c r="O40" s="85"/>
      <c r="P40" s="85"/>
    </row>
    <row r="41" spans="1:16" s="32" customFormat="1" x14ac:dyDescent="0.25">
      <c r="L41" s="87"/>
      <c r="M41" s="87"/>
      <c r="N41" s="87"/>
      <c r="O41" s="87"/>
      <c r="P41" s="87"/>
    </row>
    <row r="42" spans="1:16" s="32" customFormat="1" x14ac:dyDescent="0.25">
      <c r="A42" s="164" t="s">
        <v>37</v>
      </c>
      <c r="B42" s="84">
        <f t="shared" ref="B42:C42" si="5">ROUND($L$40*B19/$L$19,2)</f>
        <v>5013.58</v>
      </c>
      <c r="C42" s="84">
        <f t="shared" si="5"/>
        <v>9024.44</v>
      </c>
      <c r="D42" s="84">
        <f>ROUND($L$40*D19/$L$19,2)</f>
        <v>2005.43</v>
      </c>
      <c r="E42" s="84">
        <f t="shared" ref="E42:K42" si="6">ROUND($L$40*E19/$L$19,2)</f>
        <v>0</v>
      </c>
      <c r="F42" s="84">
        <f t="shared" si="6"/>
        <v>0</v>
      </c>
      <c r="G42" s="84">
        <f t="shared" si="6"/>
        <v>0</v>
      </c>
      <c r="H42" s="84">
        <f t="shared" si="6"/>
        <v>0</v>
      </c>
      <c r="I42" s="84">
        <f t="shared" si="6"/>
        <v>0</v>
      </c>
      <c r="J42" s="84">
        <f t="shared" si="6"/>
        <v>0</v>
      </c>
      <c r="K42" s="84">
        <f t="shared" si="6"/>
        <v>0</v>
      </c>
      <c r="L42" s="84">
        <f>SUM(B42:K42)</f>
        <v>16043.45</v>
      </c>
      <c r="M42" s="58"/>
      <c r="N42" s="66"/>
      <c r="O42" s="66"/>
      <c r="P42" s="66"/>
    </row>
    <row r="43" spans="1:16" s="32" customFormat="1" x14ac:dyDescent="0.25">
      <c r="A43" s="88" t="s">
        <v>38</v>
      </c>
      <c r="B43" s="89">
        <f>IF(B11=Massimali!$A$6,Massimali!$B$6,IF(B11=Massimali!$A$7,Massimali!$B$7,IF(B11=Massimali!$A$8,Massimali!$B$8,IF(B11=Massimali!$A$9,"De minimis","- - -"))))</f>
        <v>0.65</v>
      </c>
      <c r="C43" s="89">
        <f>IF(C11=Massimali!$A$6,Massimali!$B$6,IF(C11=Massimali!$A$7,Massimali!$B$7,IF(C11=Massimali!$A$8,Massimali!$B$8,IF(C11=Massimali!$A$9,"De minimis","- - -"))))</f>
        <v>0.8</v>
      </c>
      <c r="D43" s="89" t="str">
        <f>IF(D11=Massimali!$A$6,Massimali!$B$6,IF(D11=Massimali!$A$7,Massimali!$B$7,IF(D11=Massimali!$A$8,Massimali!$B$8,IF(D11=Massimali!$A$9,"De minimis","- - -"))))</f>
        <v>De minimis</v>
      </c>
      <c r="E43" s="89" t="str">
        <f>IF(E11=Massimali!$A$6,Massimali!$B$6,IF(E11=Massimali!$A$7,Massimali!$B$7,IF(E11=Massimali!$A$8,Massimali!$B$8,IF(E11=Massimali!$A$9,"De minimis","- - -"))))</f>
        <v>- - -</v>
      </c>
      <c r="F43" s="89" t="str">
        <f>IF(F11=Massimali!$A$6,Massimali!$B$6,IF(F11=Massimali!$A$7,Massimali!$B$7,IF(F11=Massimali!$A$8,Massimali!$B$8,IF(F11=Massimali!$A$9,"De minimis","- - -"))))</f>
        <v>- - -</v>
      </c>
      <c r="G43" s="89" t="str">
        <f>IF(G11=Massimali!$A$6,Massimali!$B$6,IF(G11=Massimali!$A$7,Massimali!$B$7,IF(G11=Massimali!$A$8,Massimali!$B$8,IF(G11=Massimali!$A$9,"De minimis","- - -"))))</f>
        <v>- - -</v>
      </c>
      <c r="H43" s="89" t="str">
        <f>IF(H11=Massimali!$A$6,Massimali!$B$6,IF(H11=Massimali!$A$7,Massimali!$B$7,IF(H11=Massimali!$A$8,Massimali!$B$8,IF(H11=Massimali!$A$9,"De minimis","- - -"))))</f>
        <v>- - -</v>
      </c>
      <c r="I43" s="89" t="str">
        <f>IF(I11=Massimali!$A$6,Massimali!$B$6,IF(I11=Massimali!$A$7,Massimali!$B$7,IF(I11=Massimali!$A$8,Massimali!$B$8,IF(I11=Massimali!$A$9,"De minimis","- - -"))))</f>
        <v>- - -</v>
      </c>
      <c r="J43" s="89" t="str">
        <f>IF(J11=Massimali!$A$6,Massimali!$B$6,IF(J11=Massimali!$A$7,Massimali!$B$7,IF(J11=Massimali!$A$8,Massimali!$B$8,IF(J11=Massimali!$A$9,"De minimis","- - -"))))</f>
        <v>- - -</v>
      </c>
      <c r="K43" s="89" t="str">
        <f>IF(K11=Massimali!$A$6,Massimali!$B$6,IF(K11=Massimali!$A$7,Massimali!$B$7,IF(K11=Massimali!$A$8,Massimali!$B$8,IF(K11=Massimali!$A$9,"De minimis","- - -"))))</f>
        <v>- - -</v>
      </c>
      <c r="L43" s="90" t="s">
        <v>5</v>
      </c>
      <c r="M43" s="62"/>
    </row>
    <row r="44" spans="1:16" s="32" customFormat="1" x14ac:dyDescent="0.25">
      <c r="A44" s="62" t="s">
        <v>39</v>
      </c>
      <c r="B44" s="91">
        <f t="shared" ref="B44:C44" si="7">IF(B43="De minimis","- - -",IFERROR((B14+B42-B46)/B10,0))</f>
        <v>0.64827160000000006</v>
      </c>
      <c r="C44" s="91">
        <f t="shared" si="7"/>
        <v>0.69024439999999998</v>
      </c>
      <c r="D44" s="91" t="str">
        <f>IF(D43="De minimis","- - -",IFERROR((D14+D42-D46)/D10,0))</f>
        <v>- - -</v>
      </c>
      <c r="E44" s="91">
        <f t="shared" ref="E44:K44" si="8">IF(E43="De minimis","- - -",IFERROR((E14+E42-E46)/E10,0))</f>
        <v>0</v>
      </c>
      <c r="F44" s="91">
        <f t="shared" si="8"/>
        <v>0</v>
      </c>
      <c r="G44" s="91">
        <f t="shared" si="8"/>
        <v>0</v>
      </c>
      <c r="H44" s="91">
        <f t="shared" si="8"/>
        <v>0</v>
      </c>
      <c r="I44" s="91">
        <f t="shared" si="8"/>
        <v>0</v>
      </c>
      <c r="J44" s="91">
        <f t="shared" si="8"/>
        <v>0</v>
      </c>
      <c r="K44" s="91">
        <f t="shared" si="8"/>
        <v>0</v>
      </c>
      <c r="L44" s="90" t="s">
        <v>5</v>
      </c>
      <c r="M44" s="62"/>
    </row>
    <row r="45" spans="1:16" s="32" customFormat="1" ht="54" customHeight="1" x14ac:dyDescent="0.25">
      <c r="A45" s="62" t="s">
        <v>40</v>
      </c>
      <c r="B45" s="92" t="str">
        <f>IF(B43="De minimis","Verificare utilizzo plafond su RNA",
IF(B44&lt;=B43,"OK","Intensità di aiuto massima superata - procedere con la riduzione del sostegno FNC-Agricoltura"))</f>
        <v>OK</v>
      </c>
      <c r="C45" s="92" t="str">
        <f>IF(C43="De minimis","Verificare utilizzo plafond su RNA",
IF(C44&lt;=C43,"OK","Intensità di aiuto massima superata - procedere con la riduzione degli aiuti collegati allo Strumento Finanziario"))</f>
        <v>OK</v>
      </c>
      <c r="D45" s="92" t="str">
        <f>IF(D43="De minimis","Verificare utilizzo plafond de minimis su RNA",
IF(D44&lt;=D43,"OK","Intensità di aiuto massima superata - procedere con la riduzione degli aiuti collegati allo Strumento Finanziario"))</f>
        <v>Verificare utilizzo plafond de minimis su RNA</v>
      </c>
      <c r="E45" s="92"/>
      <c r="F45" s="92"/>
      <c r="G45" s="92"/>
      <c r="H45" s="92"/>
      <c r="I45" s="92"/>
      <c r="J45" s="92"/>
      <c r="K45" s="92"/>
      <c r="L45" s="93" t="s">
        <v>5</v>
      </c>
      <c r="M45" s="51"/>
    </row>
    <row r="46" spans="1:16" s="32" customFormat="1" ht="13.8" x14ac:dyDescent="0.25">
      <c r="A46" s="94" t="s">
        <v>105</v>
      </c>
      <c r="B46" s="50">
        <v>2600</v>
      </c>
      <c r="C46" s="50">
        <v>0</v>
      </c>
      <c r="D46" s="50">
        <v>0</v>
      </c>
      <c r="E46" s="50"/>
      <c r="F46" s="50"/>
      <c r="G46" s="50"/>
      <c r="H46" s="50"/>
      <c r="I46" s="50"/>
      <c r="J46" s="50"/>
      <c r="K46" s="95"/>
      <c r="L46" s="96">
        <f>SUM(B46:D46)</f>
        <v>2600</v>
      </c>
      <c r="M46" s="33" t="s">
        <v>10</v>
      </c>
    </row>
    <row r="47" spans="1:16" s="32" customFormat="1" x14ac:dyDescent="0.25">
      <c r="A47" s="97" t="s">
        <v>76</v>
      </c>
      <c r="B47" s="149"/>
      <c r="C47" s="150"/>
      <c r="D47" s="150"/>
      <c r="E47" s="150"/>
      <c r="F47" s="150"/>
      <c r="G47" s="150"/>
      <c r="H47" s="150"/>
      <c r="I47" s="150"/>
      <c r="J47" s="150"/>
      <c r="K47" s="151"/>
      <c r="L47" s="98">
        <f>IF(L46&lt;L36,L46,L36)</f>
        <v>2600</v>
      </c>
      <c r="M47" s="166" t="s">
        <v>74</v>
      </c>
    </row>
    <row r="48" spans="1:16" s="32" customFormat="1" x14ac:dyDescent="0.25">
      <c r="A48" s="97" t="s">
        <v>77</v>
      </c>
      <c r="B48" s="152"/>
      <c r="C48" s="153"/>
      <c r="D48" s="153"/>
      <c r="E48" s="153"/>
      <c r="F48" s="153"/>
      <c r="G48" s="153"/>
      <c r="H48" s="153"/>
      <c r="I48" s="153"/>
      <c r="J48" s="153"/>
      <c r="K48" s="154"/>
      <c r="L48" s="98">
        <f>IF(SUM(L36:L37)&gt;=L46,L46-L47,L37)</f>
        <v>0</v>
      </c>
      <c r="M48" s="167"/>
    </row>
    <row r="49" spans="1:16" s="32" customFormat="1" x14ac:dyDescent="0.25">
      <c r="A49" s="97" t="s">
        <v>78</v>
      </c>
      <c r="B49" s="152"/>
      <c r="C49" s="153"/>
      <c r="D49" s="153"/>
      <c r="E49" s="153"/>
      <c r="F49" s="153"/>
      <c r="G49" s="153"/>
      <c r="H49" s="153"/>
      <c r="I49" s="153"/>
      <c r="J49" s="153"/>
      <c r="K49" s="154"/>
      <c r="L49" s="98">
        <f>L46-SUM(L47:L48)</f>
        <v>0</v>
      </c>
      <c r="M49" s="168"/>
    </row>
    <row r="50" spans="1:16" s="32" customFormat="1" ht="13.8" x14ac:dyDescent="0.25">
      <c r="A50" s="99" t="s">
        <v>90</v>
      </c>
      <c r="B50" s="155"/>
      <c r="C50" s="156"/>
      <c r="D50" s="157"/>
      <c r="E50" s="157"/>
      <c r="F50" s="157"/>
      <c r="G50" s="157"/>
      <c r="H50" s="157"/>
      <c r="I50" s="157"/>
      <c r="J50" s="157"/>
      <c r="K50" s="158"/>
      <c r="L50" s="100">
        <f>SUM(L51:L52)</f>
        <v>7373.0125762464741</v>
      </c>
      <c r="M50" s="33"/>
    </row>
    <row r="51" spans="1:16" s="32" customFormat="1" ht="13.8" x14ac:dyDescent="0.25">
      <c r="A51" s="97" t="s">
        <v>79</v>
      </c>
      <c r="B51" s="152"/>
      <c r="C51" s="153"/>
      <c r="D51" s="153"/>
      <c r="E51" s="153"/>
      <c r="F51" s="153"/>
      <c r="G51" s="153"/>
      <c r="H51" s="153"/>
      <c r="I51" s="153"/>
      <c r="J51" s="153"/>
      <c r="K51" s="154"/>
      <c r="L51" s="45">
        <f>IF(L47&lt;=L36,L36-L47,0)</f>
        <v>960</v>
      </c>
      <c r="M51" s="33"/>
    </row>
    <row r="52" spans="1:16" s="32" customFormat="1" ht="13.8" x14ac:dyDescent="0.25">
      <c r="A52" s="101" t="s">
        <v>80</v>
      </c>
      <c r="B52" s="152"/>
      <c r="C52" s="153"/>
      <c r="D52" s="153"/>
      <c r="E52" s="153"/>
      <c r="F52" s="153"/>
      <c r="G52" s="153"/>
      <c r="H52" s="153"/>
      <c r="I52" s="153"/>
      <c r="J52" s="153"/>
      <c r="K52" s="154"/>
      <c r="L52" s="45">
        <f>IF(L48&lt;=L37,L37-L48,0)</f>
        <v>6413.0125762464741</v>
      </c>
      <c r="M52" s="33"/>
    </row>
    <row r="53" spans="1:16" s="32" customFormat="1" ht="13.8" x14ac:dyDescent="0.25">
      <c r="A53" s="99" t="s">
        <v>75</v>
      </c>
      <c r="B53" s="155"/>
      <c r="C53" s="157"/>
      <c r="D53" s="157"/>
      <c r="E53" s="157"/>
      <c r="F53" s="157"/>
      <c r="G53" s="157"/>
      <c r="H53" s="157"/>
      <c r="I53" s="157"/>
      <c r="J53" s="157"/>
      <c r="K53" s="158"/>
      <c r="L53" s="147">
        <f>L39-L49</f>
        <v>6070.4299251631901</v>
      </c>
      <c r="M53" s="33"/>
    </row>
    <row r="54" spans="1:16" ht="13.8" x14ac:dyDescent="0.25">
      <c r="A54" s="86" t="s">
        <v>89</v>
      </c>
      <c r="B54" s="159"/>
      <c r="C54" s="160"/>
      <c r="D54" s="160"/>
      <c r="E54" s="160"/>
      <c r="F54" s="160"/>
      <c r="G54" s="160"/>
      <c r="H54" s="160"/>
      <c r="I54" s="160"/>
      <c r="J54" s="160"/>
      <c r="K54" s="161"/>
      <c r="L54" s="148">
        <f>L50+L53</f>
        <v>13443.442501409663</v>
      </c>
      <c r="M54" s="28"/>
    </row>
    <row r="55" spans="1:16" s="54" customFormat="1" x14ac:dyDescent="0.25">
      <c r="B55" s="57"/>
      <c r="C55" s="57"/>
      <c r="D55" s="57"/>
      <c r="E55" s="57"/>
      <c r="F55" s="57"/>
      <c r="G55" s="57"/>
      <c r="H55" s="57"/>
      <c r="I55" s="57"/>
      <c r="J55" s="57"/>
      <c r="K55" s="57"/>
      <c r="L55" s="57"/>
    </row>
    <row r="56" spans="1:16" s="54" customFormat="1" x14ac:dyDescent="0.25"/>
    <row r="57" spans="1:16" s="54" customFormat="1" x14ac:dyDescent="0.25">
      <c r="B57" s="55"/>
      <c r="C57" s="55"/>
      <c r="D57" s="55"/>
      <c r="E57" s="55"/>
      <c r="F57" s="55"/>
      <c r="G57" s="55"/>
      <c r="H57" s="55"/>
      <c r="I57" s="55"/>
      <c r="J57" s="55"/>
      <c r="K57" s="55"/>
      <c r="L57" s="55"/>
      <c r="M57" s="165"/>
    </row>
    <row r="58" spans="1:16" s="54" customFormat="1" x14ac:dyDescent="0.25">
      <c r="B58" s="55"/>
      <c r="C58" s="55"/>
      <c r="D58" s="55"/>
      <c r="E58" s="55"/>
      <c r="F58" s="55"/>
      <c r="G58" s="55"/>
      <c r="H58" s="55"/>
      <c r="I58" s="55"/>
      <c r="J58" s="55"/>
      <c r="K58" s="55"/>
      <c r="L58" s="55"/>
      <c r="M58" s="165"/>
      <c r="N58" s="56"/>
      <c r="O58" s="56"/>
      <c r="P58" s="56"/>
    </row>
    <row r="59" spans="1:16" s="54" customFormat="1" x14ac:dyDescent="0.25">
      <c r="B59" s="55"/>
      <c r="C59" s="55"/>
      <c r="D59" s="55"/>
      <c r="E59" s="55"/>
      <c r="F59" s="55"/>
      <c r="G59" s="55"/>
      <c r="H59" s="55"/>
      <c r="I59" s="55"/>
      <c r="J59" s="55"/>
      <c r="K59" s="55"/>
      <c r="L59" s="55"/>
      <c r="M59" s="165"/>
    </row>
    <row r="60" spans="1:16" s="54" customFormat="1" x14ac:dyDescent="0.25">
      <c r="B60" s="55"/>
      <c r="C60" s="55"/>
      <c r="D60" s="55"/>
      <c r="E60" s="55"/>
      <c r="F60" s="55"/>
      <c r="G60" s="55"/>
      <c r="H60" s="55"/>
      <c r="I60" s="55"/>
      <c r="J60" s="55"/>
      <c r="K60" s="55"/>
      <c r="L60" s="55"/>
    </row>
    <row r="62" spans="1:16" x14ac:dyDescent="0.25">
      <c r="B62" s="52"/>
      <c r="C62" s="52"/>
      <c r="D62" s="52"/>
      <c r="E62" s="52"/>
      <c r="F62" s="52"/>
      <c r="G62" s="52"/>
      <c r="H62" s="52"/>
      <c r="I62" s="52"/>
      <c r="J62" s="52"/>
      <c r="K62" s="52"/>
    </row>
    <row r="63" spans="1:16" x14ac:dyDescent="0.25">
      <c r="B63" s="52"/>
    </row>
    <row r="64" spans="1:16" x14ac:dyDescent="0.25">
      <c r="B64" s="52"/>
    </row>
    <row r="65" spans="2:3" x14ac:dyDescent="0.25">
      <c r="B65" s="52"/>
      <c r="C65" s="52"/>
    </row>
    <row r="66" spans="2:3" x14ac:dyDescent="0.25">
      <c r="B66" s="52"/>
    </row>
    <row r="68" spans="2:3" x14ac:dyDescent="0.25">
      <c r="B68" s="52"/>
    </row>
    <row r="69" spans="2:3" x14ac:dyDescent="0.25">
      <c r="B69" s="52"/>
    </row>
  </sheetData>
  <sheetProtection algorithmName="SHA-512" hashValue="MPJTa6N3jHkJ3jIKNXNGkiAgZasXCs8g59/1BzpOmbwV0VjBUm0Yken7cxN3QEBdlLOY1yE97PVt6xXpr+uRKw==" saltValue="ToBIwvDvlm/RTi22MhF3oA==" spinCount="100000" sheet="1" objects="1" scenarios="1"/>
  <mergeCells count="2">
    <mergeCell ref="M57:M59"/>
    <mergeCell ref="M47:M49"/>
  </mergeCells>
  <phoneticPr fontId="35" type="noConversion"/>
  <conditionalFormatting sqref="B45:K45">
    <cfRule type="cellIs" dxfId="0" priority="1" operator="notEqual">
      <formula>"OK"</formula>
    </cfRule>
  </conditionalFormatting>
  <dataValidations count="9">
    <dataValidation type="whole" operator="lessThanOrEqual" allowBlank="1" showInputMessage="1" showErrorMessage="1" sqref="L29 L22" xr:uid="{D5ADDEBE-01EF-4411-AEB8-1CF0BE707CCB}">
      <formula1>120</formula1>
    </dataValidation>
    <dataValidation operator="lessThanOrEqual" allowBlank="1" showInputMessage="1" showErrorMessage="1" sqref="L26" xr:uid="{39AA603B-78EA-4A23-9FE7-141DB5A12BB7}"/>
    <dataValidation type="decimal" operator="lessThanOrEqual" allowBlank="1" showInputMessage="1" showErrorMessage="1" sqref="L24" xr:uid="{F091609B-2EEC-49CC-AB12-7044D579FE46}">
      <formula1>0.05</formula1>
    </dataValidation>
    <dataValidation type="decimal" operator="lessThanOrEqual" allowBlank="1" showInputMessage="1" showErrorMessage="1" sqref="L35:L36" xr:uid="{D86D81CA-74B8-4413-A805-BC142F468711}">
      <formula1>5000</formula1>
    </dataValidation>
    <dataValidation type="decimal" operator="lessThanOrEqual" allowBlank="1" showInputMessage="1" showErrorMessage="1" sqref="L23" xr:uid="{829A6397-5E23-4ED2-AE7B-395661CF10B1}">
      <formula1>0.0475</formula1>
    </dataValidation>
    <dataValidation type="decimal" operator="lessThanOrEqual" allowBlank="1" showInputMessage="1" showErrorMessage="1" sqref="L20" xr:uid="{EB0FEE20-064E-45A9-8FD1-83DC72C1AC0C}">
      <formula1>0.8</formula1>
    </dataValidation>
    <dataValidation type="decimal" operator="greaterThan" allowBlank="1" showInputMessage="1" showErrorMessage="1" sqref="B21:L21 B22:K40 B20:K20" xr:uid="{4934E3BC-9D82-4693-99A5-E67DFFDDD72A}">
      <formula1>0</formula1>
    </dataValidation>
    <dataValidation type="decimal" operator="lessThanOrEqual" allowBlank="1" showInputMessage="1" showErrorMessage="1" sqref="L19" xr:uid="{06F28FE1-B8EB-4AB7-A744-8C69CC40A3B0}">
      <formula1>L16</formula1>
    </dataValidation>
    <dataValidation type="list" allowBlank="1" showInputMessage="1" showErrorMessage="1" sqref="B12:K12" xr:uid="{3C2AC043-78E9-43E9-AA11-49E81058B08A}">
      <formula1>"30%,40%,50%,60%,70%,0%"</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9F42D2B-CA7E-435A-935E-4412649F7565}">
          <x14:formula1>
            <xm:f>'Frequenza rate'!$A$2:$A$7</xm:f>
          </x14:formula1>
          <xm:sqref>L25</xm:sqref>
        </x14:dataValidation>
        <x14:dataValidation type="list" allowBlank="1" showInputMessage="1" showErrorMessage="1" xr:uid="{8AA4FA80-491F-4605-89F3-AA2D478002DD}">
          <x14:formula1>
            <xm:f>'Frequenza rate'!$A$2:$A$6</xm:f>
          </x14:formula1>
          <xm:sqref>L28</xm:sqref>
        </x14:dataValidation>
        <x14:dataValidation type="list" allowBlank="1" showInputMessage="1" showErrorMessage="1" xr:uid="{BD80BE9D-0CDD-429D-8999-FF5B3E0FB218}">
          <x14:formula1>
            <xm:f>Massimali!$A$6:$A$10</xm:f>
          </x14:formula1>
          <xm:sqref>B11:K11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5B3AC-52E0-468F-82BB-85CA4A8EFFCA}">
  <dimension ref="A1:Q122"/>
  <sheetViews>
    <sheetView topLeftCell="A95" zoomScaleNormal="100" workbookViewId="0">
      <selection activeCell="J122" sqref="J122"/>
    </sheetView>
  </sheetViews>
  <sheetFormatPr defaultRowHeight="13.2" x14ac:dyDescent="0.25"/>
  <cols>
    <col min="1" max="1" width="10.5546875" bestFit="1" customWidth="1"/>
    <col min="2" max="2" width="12.5546875" bestFit="1" customWidth="1"/>
    <col min="3" max="3" width="12.44140625" bestFit="1" customWidth="1"/>
    <col min="4" max="4" width="14.44140625" bestFit="1" customWidth="1"/>
    <col min="5" max="5" width="12" bestFit="1" customWidth="1"/>
    <col min="6" max="6" width="12.5546875" bestFit="1" customWidth="1"/>
    <col min="7" max="7" width="40.44140625" customWidth="1"/>
    <col min="8" max="8" width="2.109375" bestFit="1" customWidth="1"/>
    <col min="9" max="9" width="5.44140625" customWidth="1"/>
    <col min="10" max="10" width="10.5546875" bestFit="1" customWidth="1"/>
    <col min="11" max="11" width="12.5546875" bestFit="1" customWidth="1"/>
    <col min="12" max="12" width="12.44140625" bestFit="1" customWidth="1"/>
    <col min="13" max="13" width="14.44140625" bestFit="1" customWidth="1"/>
    <col min="14" max="14" width="12" bestFit="1" customWidth="1"/>
    <col min="15" max="15" width="12.5546875" bestFit="1" customWidth="1"/>
    <col min="16" max="16" width="39.5546875" customWidth="1"/>
    <col min="17" max="17" width="2.109375" bestFit="1" customWidth="1"/>
  </cols>
  <sheetData>
    <row r="1" spans="1:17" ht="13.8" x14ac:dyDescent="0.25">
      <c r="A1" s="169" t="s">
        <v>41</v>
      </c>
      <c r="B1" s="170"/>
      <c r="C1" s="170"/>
      <c r="D1" s="170"/>
      <c r="E1" s="170"/>
      <c r="F1" s="170"/>
      <c r="G1" s="171"/>
      <c r="J1" s="169" t="s">
        <v>42</v>
      </c>
      <c r="K1" s="170"/>
      <c r="L1" s="170"/>
      <c r="M1" s="170"/>
      <c r="N1" s="170"/>
      <c r="O1" s="170"/>
      <c r="P1" s="171"/>
    </row>
    <row r="2" spans="1:17" ht="13.8" x14ac:dyDescent="0.25">
      <c r="A2" s="8" t="s">
        <v>43</v>
      </c>
      <c r="B2" s="8" t="s">
        <v>44</v>
      </c>
      <c r="C2" s="8" t="s">
        <v>45</v>
      </c>
      <c r="D2" s="8" t="s">
        <v>46</v>
      </c>
      <c r="E2" s="8" t="s">
        <v>47</v>
      </c>
      <c r="F2" s="8" t="s">
        <v>48</v>
      </c>
      <c r="G2" s="9" t="s">
        <v>49</v>
      </c>
      <c r="J2" s="8" t="s">
        <v>43</v>
      </c>
      <c r="K2" s="8" t="s">
        <v>44</v>
      </c>
      <c r="L2" s="8" t="s">
        <v>45</v>
      </c>
      <c r="M2" s="8" t="s">
        <v>46</v>
      </c>
      <c r="N2" s="8" t="s">
        <v>47</v>
      </c>
      <c r="O2" s="8" t="s">
        <v>48</v>
      </c>
      <c r="P2" s="9" t="s">
        <v>49</v>
      </c>
    </row>
    <row r="3" spans="1:17" x14ac:dyDescent="0.25">
      <c r="A3" s="10">
        <f>IF('FNC-AGRI_prospetto riassuntivo'!L27=0,0,1)</f>
        <v>1</v>
      </c>
      <c r="B3" s="11">
        <f>'FNC-AGRI_prospetto riassuntivo'!$L$19*'FNC-AGRI_prospetto riassuntivo'!$L$31*H3</f>
        <v>106.66666666666667</v>
      </c>
      <c r="C3" s="11">
        <v>0</v>
      </c>
      <c r="D3" s="11">
        <f t="shared" ref="D3:D4" si="0">B3</f>
        <v>106.66666666666667</v>
      </c>
      <c r="E3" s="11">
        <v>0</v>
      </c>
      <c r="F3" s="11">
        <f>IF(A3=0,0,'FNC-AGRI_prospetto riassuntivo'!$L$19)</f>
        <v>64000</v>
      </c>
      <c r="G3" s="11">
        <f>B3/((1+IFERROR(SUM('FNC-AGRI_prospetto riassuntivo'!$L$33,'FNC-AGRI_prospetto riassuntivo'!$L$34)/'FNC-AGRI_prospetto riassuntivo'!$L$25,0))^A3)</f>
        <v>106.33790530941837</v>
      </c>
      <c r="H3">
        <f>IF(A3=0,0,IF(OR(A3&lt;'FNC-AGRI_prospetto riassuntivo'!$L$27,A3='FNC-AGRI_prospetto riassuntivo'!$L$27),1,0))</f>
        <v>1</v>
      </c>
      <c r="J3" s="10">
        <f>MAX(A3:A38)+1</f>
        <v>13</v>
      </c>
      <c r="K3" s="11">
        <f>'FNC-AGRI_prospetto riassuntivo'!$L$19*'FNC-AGRI_prospetto riassuntivo'!$L$32*Q3</f>
        <v>106.66666666666667</v>
      </c>
      <c r="L3" s="11">
        <f t="shared" ref="L3:L4" si="1">M3-K3</f>
        <v>541.350756325048</v>
      </c>
      <c r="M3" s="11">
        <f>-PMT('FNC-AGRI_prospetto riassuntivo'!L32,'FNC-AGRI_prospetto riassuntivo'!L30,'FNC-AGRI_prospetto riassuntivo'!L19,,0)</f>
        <v>648.01742299171462</v>
      </c>
      <c r="N3" s="11">
        <f>(L3)*Q3</f>
        <v>541.350756325048</v>
      </c>
      <c r="O3" s="11">
        <f>('FNC-AGRI_prospetto riassuntivo'!$L$19-N3)*Q3</f>
        <v>63458.649243674954</v>
      </c>
      <c r="P3" s="11">
        <f>K3/(1+SUM('FNC-AGRI_prospetto riassuntivo'!$L$33:$L$34)/'FNC-AGRI_prospetto riassuntivo'!$L$28)^J3</f>
        <v>102.47091910935835</v>
      </c>
      <c r="Q3">
        <f>IF(J3=0,0,IF(OR(J3&lt;'FNC-AGRI_prospetto riassuntivo'!$L$27+'FNC-AGRI_prospetto riassuntivo'!$L$30,J3='FNC-AGRI_prospetto riassuntivo'!$L$27+'FNC-AGRI_prospetto riassuntivo'!$L$30),1,0))</f>
        <v>1</v>
      </c>
    </row>
    <row r="4" spans="1:17" x14ac:dyDescent="0.25">
      <c r="A4" s="10">
        <f>IF(A3=0,0,IF('FNC-AGRI_prospetto riassuntivo'!$L$27&gt;A3,A3+1,0))</f>
        <v>2</v>
      </c>
      <c r="B4" s="11">
        <f>'FNC-AGRI_prospetto riassuntivo'!$L$19*'FNC-AGRI_prospetto riassuntivo'!$L$31*H4</f>
        <v>106.66666666666667</v>
      </c>
      <c r="C4" s="11">
        <v>0</v>
      </c>
      <c r="D4" s="11">
        <f t="shared" si="0"/>
        <v>106.66666666666667</v>
      </c>
      <c r="E4" s="11">
        <v>0</v>
      </c>
      <c r="F4" s="11">
        <f>IF(A4=0,0,'FNC-AGRI_prospetto riassuntivo'!$L$19)</f>
        <v>64000</v>
      </c>
      <c r="G4" s="11">
        <f>B4/((1+IFERROR(SUM('FNC-AGRI_prospetto riassuntivo'!$L$33,'FNC-AGRI_prospetto riassuntivo'!$L$34)/'FNC-AGRI_prospetto riassuntivo'!$L$25,0))^A4)</f>
        <v>106.01015723995152</v>
      </c>
      <c r="H4">
        <f>IF(A4=0,0,IF(OR(A4&lt;'FNC-AGRI_prospetto riassuntivo'!$L$27,A4='FNC-AGRI_prospetto riassuntivo'!$L$27),1,0))</f>
        <v>1</v>
      </c>
      <c r="J4" s="10">
        <f>IF(J3=0,0,IF('FNC-AGRI_prospetto riassuntivo'!$L$27+'FNC-AGRI_prospetto riassuntivo'!$L$30&gt;J3,J3+1,0))</f>
        <v>14</v>
      </c>
      <c r="K4" s="11">
        <f>O3*'FNC-AGRI_prospetto riassuntivo'!$L$32*Q4</f>
        <v>105.76441540612493</v>
      </c>
      <c r="L4" s="11">
        <f t="shared" si="1"/>
        <v>542.25300758558967</v>
      </c>
      <c r="M4" s="11">
        <f t="shared" ref="M4" si="2">$M$3*Q4</f>
        <v>648.01742299171462</v>
      </c>
      <c r="N4" s="12">
        <f t="shared" ref="N4" si="3">(L4+N3)*Q4</f>
        <v>1083.6037639106376</v>
      </c>
      <c r="O4" s="11">
        <f>('FNC-AGRI_prospetto riassuntivo'!$L$19-N4)*Q4</f>
        <v>62916.396236089364</v>
      </c>
      <c r="P4" s="11">
        <f>K4/(1+SUM('FNC-AGRI_prospetto riassuntivo'!$L$33:$L$34)/'FNC-AGRI_prospetto riassuntivo'!$L$28)^J4</f>
        <v>101.29100001408814</v>
      </c>
      <c r="Q4">
        <f>IF(J4=0,0,IF(OR(J4&lt;'FNC-AGRI_prospetto riassuntivo'!$L$27+'FNC-AGRI_prospetto riassuntivo'!$L$30,J4='FNC-AGRI_prospetto riassuntivo'!$L$27+'FNC-AGRI_prospetto riassuntivo'!$L$30),1,0))</f>
        <v>1</v>
      </c>
    </row>
    <row r="5" spans="1:17" x14ac:dyDescent="0.25">
      <c r="A5" s="10">
        <f>IF(A4=0,0,IF('FNC-AGRI_prospetto riassuntivo'!$L$27&gt;A4,A4+1,0))</f>
        <v>3</v>
      </c>
      <c r="B5" s="11">
        <f>'FNC-AGRI_prospetto riassuntivo'!$L$19*'FNC-AGRI_prospetto riassuntivo'!$L$31*H5</f>
        <v>106.66666666666667</v>
      </c>
      <c r="C5" s="11">
        <v>0</v>
      </c>
      <c r="D5" s="11">
        <f t="shared" ref="D5:D26" si="4">B5</f>
        <v>106.66666666666667</v>
      </c>
      <c r="E5" s="11">
        <v>0</v>
      </c>
      <c r="F5" s="11">
        <f>IF(A5=0,0,'FNC-AGRI_prospetto riassuntivo'!$L$19)</f>
        <v>64000</v>
      </c>
      <c r="G5" s="11">
        <f>B5/((1+IFERROR(SUM('FNC-AGRI_prospetto riassuntivo'!$L$33,'FNC-AGRI_prospetto riassuntivo'!$L$34)/'FNC-AGRI_prospetto riassuntivo'!$L$25,0))^A5)</f>
        <v>105.68341933517362</v>
      </c>
      <c r="H5">
        <f>IF(A5=0,0,IF(OR(A5&lt;'FNC-AGRI_prospetto riassuntivo'!$L$27,A5='FNC-AGRI_prospetto riassuntivo'!$L$27),1,0))</f>
        <v>1</v>
      </c>
      <c r="J5" s="10">
        <f>IF(J4=0,0,IF('FNC-AGRI_prospetto riassuntivo'!$L$27+'FNC-AGRI_prospetto riassuntivo'!$L$30&gt;J4,J4+1,0))</f>
        <v>15</v>
      </c>
      <c r="K5" s="11">
        <f>O4*'FNC-AGRI_prospetto riassuntivo'!$L$32*Q5</f>
        <v>104.86066039348228</v>
      </c>
      <c r="L5" s="11">
        <f t="shared" ref="L5:L68" si="5">M5-K5</f>
        <v>543.15676259823238</v>
      </c>
      <c r="M5" s="11">
        <f t="shared" ref="M5:M68" si="6">$M$3*Q5</f>
        <v>648.01742299171462</v>
      </c>
      <c r="N5" s="12">
        <f t="shared" ref="N5:N68" si="7">(L5+N4)*Q5</f>
        <v>1626.76052650887</v>
      </c>
      <c r="O5" s="11">
        <f>('FNC-AGRI_prospetto riassuntivo'!$L$19-N5)*Q5</f>
        <v>62373.239473491129</v>
      </c>
      <c r="P5" s="11">
        <f>K5/(1+SUM('FNC-AGRI_prospetto riassuntivo'!$L$33:$L$34)/'FNC-AGRI_prospetto riassuntivo'!$L$28)^J5</f>
        <v>100.11594512454543</v>
      </c>
      <c r="Q5">
        <f>IF(J5=0,0,IF(OR(J5&lt;'FNC-AGRI_prospetto riassuntivo'!$L$27+'FNC-AGRI_prospetto riassuntivo'!$L$30,J5='FNC-AGRI_prospetto riassuntivo'!$L$27+'FNC-AGRI_prospetto riassuntivo'!$L$30),1,0))</f>
        <v>1</v>
      </c>
    </row>
    <row r="6" spans="1:17" x14ac:dyDescent="0.25">
      <c r="A6" s="10">
        <f>IF(A5=0,0,IF('FNC-AGRI_prospetto riassuntivo'!$L$27&gt;A5,A5+1,0))</f>
        <v>4</v>
      </c>
      <c r="B6" s="11">
        <f>'FNC-AGRI_prospetto riassuntivo'!$L$19*'FNC-AGRI_prospetto riassuntivo'!$L$31*H6</f>
        <v>106.66666666666667</v>
      </c>
      <c r="C6" s="11">
        <v>0</v>
      </c>
      <c r="D6" s="11">
        <f t="shared" si="4"/>
        <v>106.66666666666667</v>
      </c>
      <c r="E6" s="11">
        <v>0</v>
      </c>
      <c r="F6" s="11">
        <f>IF(A6=0,0,'FNC-AGRI_prospetto riassuntivo'!$L$19)</f>
        <v>64000</v>
      </c>
      <c r="G6" s="11">
        <f>B6/((1+IFERROR(SUM('FNC-AGRI_prospetto riassuntivo'!$L$33,'FNC-AGRI_prospetto riassuntivo'!$L$34)/'FNC-AGRI_prospetto riassuntivo'!$L$25,0))^A6)</f>
        <v>105.35768848161796</v>
      </c>
      <c r="H6">
        <f>IF(A6=0,0,IF(OR(A6&lt;'FNC-AGRI_prospetto riassuntivo'!$L$27,A6='FNC-AGRI_prospetto riassuntivo'!$L$27),1,0))</f>
        <v>1</v>
      </c>
      <c r="J6" s="10">
        <f>IF(J5=0,0,IF('FNC-AGRI_prospetto riassuntivo'!$L$27+'FNC-AGRI_prospetto riassuntivo'!$L$30&gt;J5,J5+1,0))</f>
        <v>16</v>
      </c>
      <c r="K6" s="11">
        <f>O5*'FNC-AGRI_prospetto riassuntivo'!$L$32*Q6</f>
        <v>103.95539912248522</v>
      </c>
      <c r="L6" s="11">
        <f t="shared" si="5"/>
        <v>544.06202386922939</v>
      </c>
      <c r="M6" s="11">
        <f t="shared" si="6"/>
        <v>648.01742299171462</v>
      </c>
      <c r="N6" s="12">
        <f t="shared" si="7"/>
        <v>2170.8225503780995</v>
      </c>
      <c r="O6" s="11">
        <f>('FNC-AGRI_prospetto riassuntivo'!$L$19-N6)*Q6</f>
        <v>61829.1774496219</v>
      </c>
      <c r="P6" s="11">
        <f>K6/(1+SUM('FNC-AGRI_prospetto riassuntivo'!$L$33:$L$34)/'FNC-AGRI_prospetto riassuntivo'!$L$28)^J6</f>
        <v>98.945737704735762</v>
      </c>
      <c r="Q6">
        <f>IF(J6=0,0,IF(OR(J6&lt;'FNC-AGRI_prospetto riassuntivo'!$L$27+'FNC-AGRI_prospetto riassuntivo'!$L$30,J6='FNC-AGRI_prospetto riassuntivo'!$L$27+'FNC-AGRI_prospetto riassuntivo'!$L$30),1,0))</f>
        <v>1</v>
      </c>
    </row>
    <row r="7" spans="1:17" x14ac:dyDescent="0.25">
      <c r="A7" s="10">
        <f>IF(A6=0,0,IF('FNC-AGRI_prospetto riassuntivo'!$L$27&gt;A6,A6+1,0))</f>
        <v>5</v>
      </c>
      <c r="B7" s="11">
        <f>'FNC-AGRI_prospetto riassuntivo'!$L$19*'FNC-AGRI_prospetto riassuntivo'!$L$31*H7</f>
        <v>106.66666666666667</v>
      </c>
      <c r="C7" s="11">
        <v>0</v>
      </c>
      <c r="D7" s="11">
        <f t="shared" si="4"/>
        <v>106.66666666666667</v>
      </c>
      <c r="E7" s="11">
        <v>0</v>
      </c>
      <c r="F7" s="11">
        <f>IF(A7=0,0,'FNC-AGRI_prospetto riassuntivo'!$L$19)</f>
        <v>64000</v>
      </c>
      <c r="G7" s="11">
        <f>B7/((1+IFERROR(SUM('FNC-AGRI_prospetto riassuntivo'!$L$33,'FNC-AGRI_prospetto riassuntivo'!$L$34)/'FNC-AGRI_prospetto riassuntivo'!$L$25,0))^A7)</f>
        <v>105.03296157541395</v>
      </c>
      <c r="H7">
        <f>IF(A7=0,0,IF(OR(A7&lt;'FNC-AGRI_prospetto riassuntivo'!$L$27,A7='FNC-AGRI_prospetto riassuntivo'!$L$27),1,0))</f>
        <v>1</v>
      </c>
      <c r="J7" s="10">
        <f>IF(J6=0,0,IF('FNC-AGRI_prospetto riassuntivo'!$L$27+'FNC-AGRI_prospetto riassuntivo'!$L$30&gt;J6,J6+1,0))</f>
        <v>17</v>
      </c>
      <c r="K7" s="11">
        <f>O6*'FNC-AGRI_prospetto riassuntivo'!$L$32*Q7</f>
        <v>103.04862908270317</v>
      </c>
      <c r="L7" s="11">
        <f t="shared" si="5"/>
        <v>544.96879390901142</v>
      </c>
      <c r="M7" s="11">
        <f t="shared" si="6"/>
        <v>648.01742299171462</v>
      </c>
      <c r="N7" s="12">
        <f t="shared" si="7"/>
        <v>2715.7913442871109</v>
      </c>
      <c r="O7" s="11">
        <f>('FNC-AGRI_prospetto riassuntivo'!$L$19-N7)*Q7</f>
        <v>61284.208655712886</v>
      </c>
      <c r="P7" s="11">
        <f>K7/(1+SUM('FNC-AGRI_prospetto riassuntivo'!$L$33:$L$34)/'FNC-AGRI_prospetto riassuntivo'!$L$28)^J7</f>
        <v>97.780361072724588</v>
      </c>
      <c r="Q7">
        <f>IF(J7=0,0,IF(OR(J7&lt;'FNC-AGRI_prospetto riassuntivo'!$L$27+'FNC-AGRI_prospetto riassuntivo'!$L$30,J7='FNC-AGRI_prospetto riassuntivo'!$L$27+'FNC-AGRI_prospetto riassuntivo'!$L$30),1,0))</f>
        <v>1</v>
      </c>
    </row>
    <row r="8" spans="1:17" x14ac:dyDescent="0.25">
      <c r="A8" s="10">
        <f>IF(A7=0,0,IF('FNC-AGRI_prospetto riassuntivo'!$L$27&gt;A7,A7+1,0))</f>
        <v>6</v>
      </c>
      <c r="B8" s="11">
        <f>'FNC-AGRI_prospetto riassuntivo'!$L$19*'FNC-AGRI_prospetto riassuntivo'!$L$31*H8</f>
        <v>106.66666666666667</v>
      </c>
      <c r="C8" s="11">
        <v>0</v>
      </c>
      <c r="D8" s="11">
        <f t="shared" si="4"/>
        <v>106.66666666666667</v>
      </c>
      <c r="E8" s="11">
        <v>0</v>
      </c>
      <c r="F8" s="11">
        <f>IF(A8=0,0,'FNC-AGRI_prospetto riassuntivo'!$L$19)</f>
        <v>64000</v>
      </c>
      <c r="G8" s="11">
        <f>B8/((1+IFERROR(SUM('FNC-AGRI_prospetto riassuntivo'!$L$33,'FNC-AGRI_prospetto riassuntivo'!$L$34)/'FNC-AGRI_prospetto riassuntivo'!$L$25,0))^A8)</f>
        <v>104.70923552225766</v>
      </c>
      <c r="H8">
        <f>IF(A8=0,0,IF(OR(A8&lt;'FNC-AGRI_prospetto riassuntivo'!$L$27,A8='FNC-AGRI_prospetto riassuntivo'!$L$27),1,0))</f>
        <v>1</v>
      </c>
      <c r="J8" s="10">
        <f>IF(J7=0,0,IF('FNC-AGRI_prospetto riassuntivo'!$L$27+'FNC-AGRI_prospetto riassuntivo'!$L$30&gt;J7,J7+1,0))</f>
        <v>18</v>
      </c>
      <c r="K8" s="11">
        <f>O7*'FNC-AGRI_prospetto riassuntivo'!$L$32*Q8</f>
        <v>102.14034775952149</v>
      </c>
      <c r="L8" s="11">
        <f t="shared" si="5"/>
        <v>545.87707523219319</v>
      </c>
      <c r="M8" s="11">
        <f t="shared" si="6"/>
        <v>648.01742299171462</v>
      </c>
      <c r="N8" s="12">
        <f t="shared" si="7"/>
        <v>3261.6684195193038</v>
      </c>
      <c r="O8" s="11">
        <f>('FNC-AGRI_prospetto riassuntivo'!$L$19-N8)*Q8</f>
        <v>60738.331580480699</v>
      </c>
      <c r="P8" s="11">
        <f>K8/(1+SUM('FNC-AGRI_prospetto riassuntivo'!$L$33:$L$34)/'FNC-AGRI_prospetto riassuntivo'!$L$28)^J8</f>
        <v>96.619798600467149</v>
      </c>
      <c r="Q8">
        <f>IF(J8=0,0,IF(OR(J8&lt;'FNC-AGRI_prospetto riassuntivo'!$L$27+'FNC-AGRI_prospetto riassuntivo'!$L$30,J8='FNC-AGRI_prospetto riassuntivo'!$L$27+'FNC-AGRI_prospetto riassuntivo'!$L$30),1,0))</f>
        <v>1</v>
      </c>
    </row>
    <row r="9" spans="1:17" x14ac:dyDescent="0.25">
      <c r="A9" s="10">
        <f>IF(A8=0,0,IF('FNC-AGRI_prospetto riassuntivo'!$L$27&gt;A8,A8+1,0))</f>
        <v>7</v>
      </c>
      <c r="B9" s="11">
        <f>'FNC-AGRI_prospetto riassuntivo'!$L$19*'FNC-AGRI_prospetto riassuntivo'!$L$31*H9</f>
        <v>106.66666666666667</v>
      </c>
      <c r="C9" s="11">
        <v>0</v>
      </c>
      <c r="D9" s="11">
        <f t="shared" si="4"/>
        <v>106.66666666666667</v>
      </c>
      <c r="E9" s="11">
        <v>0</v>
      </c>
      <c r="F9" s="11">
        <f>IF(A9=0,0,'FNC-AGRI_prospetto riassuntivo'!$L$19)</f>
        <v>64000</v>
      </c>
      <c r="G9" s="11">
        <f>B9/((1+IFERROR(SUM('FNC-AGRI_prospetto riassuntivo'!$L$33,'FNC-AGRI_prospetto riassuntivo'!$L$34)/'FNC-AGRI_prospetto riassuntivo'!$L$25,0))^A9)</f>
        <v>104.38650723738208</v>
      </c>
      <c r="H9">
        <f>IF(A9=0,0,IF(OR(A9&lt;'FNC-AGRI_prospetto riassuntivo'!$L$27,A9='FNC-AGRI_prospetto riassuntivo'!$L$27),1,0))</f>
        <v>1</v>
      </c>
      <c r="J9" s="10">
        <f>IF(J8=0,0,IF('FNC-AGRI_prospetto riassuntivo'!$L$27+'FNC-AGRI_prospetto riassuntivo'!$L$30&gt;J8,J8+1,0))</f>
        <v>19</v>
      </c>
      <c r="K9" s="11">
        <f>O8*'FNC-AGRI_prospetto riassuntivo'!$L$32*Q9</f>
        <v>101.23055263413451</v>
      </c>
      <c r="L9" s="11">
        <f t="shared" si="5"/>
        <v>546.78687035758014</v>
      </c>
      <c r="M9" s="11">
        <f t="shared" si="6"/>
        <v>648.01742299171462</v>
      </c>
      <c r="N9" s="12">
        <f t="shared" si="7"/>
        <v>3808.4552898768839</v>
      </c>
      <c r="O9" s="11">
        <f>('FNC-AGRI_prospetto riassuntivo'!$L$19-N9)*Q9</f>
        <v>60191.544710123118</v>
      </c>
      <c r="P9" s="11">
        <f>K9/(1+SUM('FNC-AGRI_prospetto riassuntivo'!$L$33:$L$34)/'FNC-AGRI_prospetto riassuntivo'!$L$28)^J9</f>
        <v>95.464033713638941</v>
      </c>
      <c r="Q9">
        <f>IF(J9=0,0,IF(OR(J9&lt;'FNC-AGRI_prospetto riassuntivo'!$L$27+'FNC-AGRI_prospetto riassuntivo'!$L$30,J9='FNC-AGRI_prospetto riassuntivo'!$L$27+'FNC-AGRI_prospetto riassuntivo'!$L$30),1,0))</f>
        <v>1</v>
      </c>
    </row>
    <row r="10" spans="1:17" x14ac:dyDescent="0.25">
      <c r="A10" s="10">
        <f>IF(A9=0,0,IF('FNC-AGRI_prospetto riassuntivo'!$L$27&gt;A9,A9+1,0))</f>
        <v>8</v>
      </c>
      <c r="B10" s="11">
        <f>'FNC-AGRI_prospetto riassuntivo'!$L$19*'FNC-AGRI_prospetto riassuntivo'!$L$31*H10</f>
        <v>106.66666666666667</v>
      </c>
      <c r="C10" s="11">
        <v>0</v>
      </c>
      <c r="D10" s="11">
        <f t="shared" si="4"/>
        <v>106.66666666666667</v>
      </c>
      <c r="E10" s="11">
        <v>0</v>
      </c>
      <c r="F10" s="11">
        <f>IF(A10=0,0,'FNC-AGRI_prospetto riassuntivo'!$L$19)</f>
        <v>64000</v>
      </c>
      <c r="G10" s="11">
        <f>B10/((1+IFERROR(SUM('FNC-AGRI_prospetto riassuntivo'!$L$33,'FNC-AGRI_prospetto riassuntivo'!$L$34)/'FNC-AGRI_prospetto riassuntivo'!$L$25,0))^A10)</f>
        <v>104.06477364552798</v>
      </c>
      <c r="H10">
        <f>IF(A10=0,0,IF(OR(A10&lt;'FNC-AGRI_prospetto riassuntivo'!$L$27,A10='FNC-AGRI_prospetto riassuntivo'!$L$27),1,0))</f>
        <v>1</v>
      </c>
      <c r="J10" s="10">
        <f>IF(J9=0,0,IF('FNC-AGRI_prospetto riassuntivo'!$L$27+'FNC-AGRI_prospetto riassuntivo'!$L$30&gt;J9,J9+1,0))</f>
        <v>20</v>
      </c>
      <c r="K10" s="11">
        <f>O9*'FNC-AGRI_prospetto riassuntivo'!$L$32*Q10</f>
        <v>100.31924118353854</v>
      </c>
      <c r="L10" s="11">
        <f t="shared" si="5"/>
        <v>547.69818180817606</v>
      </c>
      <c r="M10" s="11">
        <f t="shared" si="6"/>
        <v>648.01742299171462</v>
      </c>
      <c r="N10" s="12">
        <f t="shared" si="7"/>
        <v>4356.1534716850601</v>
      </c>
      <c r="O10" s="11">
        <f>('FNC-AGRI_prospetto riassuntivo'!$L$19-N10)*Q10</f>
        <v>59643.846528314942</v>
      </c>
      <c r="P10" s="11">
        <f>K10/(1+SUM('FNC-AGRI_prospetto riassuntivo'!$L$33:$L$34)/'FNC-AGRI_prospetto riassuntivo'!$L$28)^J10</f>
        <v>94.313049891466548</v>
      </c>
      <c r="Q10">
        <f>IF(J10=0,0,IF(OR(J10&lt;'FNC-AGRI_prospetto riassuntivo'!$L$27+'FNC-AGRI_prospetto riassuntivo'!$L$30,J10='FNC-AGRI_prospetto riassuntivo'!$L$27+'FNC-AGRI_prospetto riassuntivo'!$L$30),1,0))</f>
        <v>1</v>
      </c>
    </row>
    <row r="11" spans="1:17" x14ac:dyDescent="0.25">
      <c r="A11" s="10">
        <f>IF(A10=0,0,IF('FNC-AGRI_prospetto riassuntivo'!$L$27&gt;A10,A10+1,0))</f>
        <v>9</v>
      </c>
      <c r="B11" s="11">
        <f>'FNC-AGRI_prospetto riassuntivo'!$L$19*'FNC-AGRI_prospetto riassuntivo'!$L$31*H11</f>
        <v>106.66666666666667</v>
      </c>
      <c r="C11" s="11">
        <v>0</v>
      </c>
      <c r="D11" s="11">
        <f t="shared" si="4"/>
        <v>106.66666666666667</v>
      </c>
      <c r="E11" s="11">
        <v>0</v>
      </c>
      <c r="F11" s="11">
        <f>IF(A11=0,0,'FNC-AGRI_prospetto riassuntivo'!$L$19)</f>
        <v>64000</v>
      </c>
      <c r="G11" s="11">
        <f>B11/((1+IFERROR(SUM('FNC-AGRI_prospetto riassuntivo'!$L$33,'FNC-AGRI_prospetto riassuntivo'!$L$34)/'FNC-AGRI_prospetto riassuntivo'!$L$25,0))^A11)</f>
        <v>103.74403168091449</v>
      </c>
      <c r="H11">
        <f>IF(A11=0,0,IF(OR(A11&lt;'FNC-AGRI_prospetto riassuntivo'!$L$27,A11='FNC-AGRI_prospetto riassuntivo'!$L$27),1,0))</f>
        <v>1</v>
      </c>
      <c r="J11" s="10">
        <f>IF(J10=0,0,IF('FNC-AGRI_prospetto riassuntivo'!$L$27+'FNC-AGRI_prospetto riassuntivo'!$L$30&gt;J10,J10+1,0))</f>
        <v>21</v>
      </c>
      <c r="K11" s="11">
        <f>O10*'FNC-AGRI_prospetto riassuntivo'!$L$32*Q11</f>
        <v>99.406410880524916</v>
      </c>
      <c r="L11" s="11">
        <f t="shared" si="5"/>
        <v>548.61101211118967</v>
      </c>
      <c r="M11" s="11">
        <f t="shared" si="6"/>
        <v>648.01742299171462</v>
      </c>
      <c r="N11" s="12">
        <f t="shared" si="7"/>
        <v>4904.7644837962498</v>
      </c>
      <c r="O11" s="11">
        <f>('FNC-AGRI_prospetto riassuntivo'!$L$19-N11)*Q11</f>
        <v>59095.235516203749</v>
      </c>
      <c r="P11" s="11">
        <f>K11/(1+SUM('FNC-AGRI_prospetto riassuntivo'!$L$33:$L$34)/'FNC-AGRI_prospetto riassuntivo'!$L$28)^J11</f>
        <v>93.166830666559136</v>
      </c>
      <c r="Q11">
        <f>IF(J11=0,0,IF(OR(J11&lt;'FNC-AGRI_prospetto riassuntivo'!$L$27+'FNC-AGRI_prospetto riassuntivo'!$L$30,J11='FNC-AGRI_prospetto riassuntivo'!$L$27+'FNC-AGRI_prospetto riassuntivo'!$L$30),1,0))</f>
        <v>1</v>
      </c>
    </row>
    <row r="12" spans="1:17" x14ac:dyDescent="0.25">
      <c r="A12" s="10">
        <f>IF(A11=0,0,IF('FNC-AGRI_prospetto riassuntivo'!$L$27&gt;A11,A11+1,0))</f>
        <v>10</v>
      </c>
      <c r="B12" s="11">
        <f>'FNC-AGRI_prospetto riassuntivo'!$L$19*'FNC-AGRI_prospetto riassuntivo'!$L$31*H12</f>
        <v>106.66666666666667</v>
      </c>
      <c r="C12" s="11">
        <v>0</v>
      </c>
      <c r="D12" s="11">
        <f t="shared" si="4"/>
        <v>106.66666666666667</v>
      </c>
      <c r="E12" s="11">
        <v>0</v>
      </c>
      <c r="F12" s="11">
        <f>IF(A12=0,0,'FNC-AGRI_prospetto riassuntivo'!$L$19)</f>
        <v>64000</v>
      </c>
      <c r="G12" s="11">
        <f>B12/((1+IFERROR(SUM('FNC-AGRI_prospetto riassuntivo'!$L$33,'FNC-AGRI_prospetto riassuntivo'!$L$34)/'FNC-AGRI_prospetto riassuntivo'!$L$25,0))^A12)</f>
        <v>103.42427828720986</v>
      </c>
      <c r="H12">
        <f>IF(A12=0,0,IF(OR(A12&lt;'FNC-AGRI_prospetto riassuntivo'!$L$27,A12='FNC-AGRI_prospetto riassuntivo'!$L$27),1,0))</f>
        <v>1</v>
      </c>
      <c r="J12" s="10">
        <f>IF(J11=0,0,IF('FNC-AGRI_prospetto riassuntivo'!$L$27+'FNC-AGRI_prospetto riassuntivo'!$L$30&gt;J11,J11+1,0))</f>
        <v>22</v>
      </c>
      <c r="K12" s="11">
        <f>O11*'FNC-AGRI_prospetto riassuntivo'!$L$32*Q12</f>
        <v>98.492059193672915</v>
      </c>
      <c r="L12" s="11">
        <f t="shared" si="5"/>
        <v>549.52536379804167</v>
      </c>
      <c r="M12" s="11">
        <f t="shared" si="6"/>
        <v>648.01742299171462</v>
      </c>
      <c r="N12" s="12">
        <f t="shared" si="7"/>
        <v>5454.2898475942911</v>
      </c>
      <c r="O12" s="11">
        <f>('FNC-AGRI_prospetto riassuntivo'!$L$19-N12)*Q12</f>
        <v>58545.710152405707</v>
      </c>
      <c r="P12" s="11">
        <f>K12/(1+SUM('FNC-AGRI_prospetto riassuntivo'!$L$33:$L$34)/'FNC-AGRI_prospetto riassuntivo'!$L$28)^J12</f>
        <v>92.025359624740418</v>
      </c>
      <c r="Q12">
        <f>IF(J12=0,0,IF(OR(J12&lt;'FNC-AGRI_prospetto riassuntivo'!$L$27+'FNC-AGRI_prospetto riassuntivo'!$L$30,J12='FNC-AGRI_prospetto riassuntivo'!$L$27+'FNC-AGRI_prospetto riassuntivo'!$L$30),1,0))</f>
        <v>1</v>
      </c>
    </row>
    <row r="13" spans="1:17" x14ac:dyDescent="0.25">
      <c r="A13" s="10">
        <f>IF(A12=0,0,IF('FNC-AGRI_prospetto riassuntivo'!$L$27&gt;A12,A12+1,0))</f>
        <v>11</v>
      </c>
      <c r="B13" s="11">
        <f>'FNC-AGRI_prospetto riassuntivo'!$L$19*'FNC-AGRI_prospetto riassuntivo'!$L$31*H13</f>
        <v>106.66666666666667</v>
      </c>
      <c r="C13" s="11">
        <v>0</v>
      </c>
      <c r="D13" s="11">
        <f t="shared" si="4"/>
        <v>106.66666666666667</v>
      </c>
      <c r="E13" s="11">
        <v>0</v>
      </c>
      <c r="F13" s="11">
        <f>IF(A13=0,0,'FNC-AGRI_prospetto riassuntivo'!$L$19)</f>
        <v>64000</v>
      </c>
      <c r="G13" s="11">
        <f>B13/((1+IFERROR(SUM('FNC-AGRI_prospetto riassuntivo'!$L$33,'FNC-AGRI_prospetto riassuntivo'!$L$34)/'FNC-AGRI_prospetto riassuntivo'!$L$25,0))^A13)</f>
        <v>103.10551041750242</v>
      </c>
      <c r="H13">
        <f>IF(A13=0,0,IF(OR(A13&lt;'FNC-AGRI_prospetto riassuntivo'!$L$27,A13='FNC-AGRI_prospetto riassuntivo'!$L$27),1,0))</f>
        <v>1</v>
      </c>
      <c r="J13" s="10">
        <f>IF(J12=0,0,IF('FNC-AGRI_prospetto riassuntivo'!$L$27+'FNC-AGRI_prospetto riassuntivo'!$L$30&gt;J12,J12+1,0))</f>
        <v>23</v>
      </c>
      <c r="K13" s="11">
        <f>O12*'FNC-AGRI_prospetto riassuntivo'!$L$32*Q13</f>
        <v>97.576183587342854</v>
      </c>
      <c r="L13" s="11">
        <f t="shared" si="5"/>
        <v>550.4412394043718</v>
      </c>
      <c r="M13" s="11">
        <f t="shared" si="6"/>
        <v>648.01742299171462</v>
      </c>
      <c r="N13" s="12">
        <f t="shared" si="7"/>
        <v>6004.7310869986632</v>
      </c>
      <c r="O13" s="11">
        <f>('FNC-AGRI_prospetto riassuntivo'!$L$19-N13)*Q13</f>
        <v>57995.268913001339</v>
      </c>
      <c r="P13" s="11">
        <f>K13/(1+SUM('FNC-AGRI_prospetto riassuntivo'!$L$33:$L$34)/'FNC-AGRI_prospetto riassuntivo'!$L$28)^J13</f>
        <v>90.888620404881109</v>
      </c>
      <c r="Q13">
        <f>IF(J13=0,0,IF(OR(J13&lt;'FNC-AGRI_prospetto riassuntivo'!$L$27+'FNC-AGRI_prospetto riassuntivo'!$L$30,J13='FNC-AGRI_prospetto riassuntivo'!$L$27+'FNC-AGRI_prospetto riassuntivo'!$L$30),1,0))</f>
        <v>1</v>
      </c>
    </row>
    <row r="14" spans="1:17" x14ac:dyDescent="0.25">
      <c r="A14" s="10">
        <f>IF(A13=0,0,IF('FNC-AGRI_prospetto riassuntivo'!$L$27&gt;A13,A13+1,0))</f>
        <v>12</v>
      </c>
      <c r="B14" s="11">
        <f>'FNC-AGRI_prospetto riassuntivo'!$L$19*'FNC-AGRI_prospetto riassuntivo'!$L$31*H14</f>
        <v>106.66666666666667</v>
      </c>
      <c r="C14" s="11">
        <v>0</v>
      </c>
      <c r="D14" s="11">
        <f t="shared" si="4"/>
        <v>106.66666666666667</v>
      </c>
      <c r="E14" s="11">
        <v>0</v>
      </c>
      <c r="F14" s="11">
        <f>IF(A14=0,0,'FNC-AGRI_prospetto riassuntivo'!$L$19)</f>
        <v>64000</v>
      </c>
      <c r="G14" s="11">
        <f>B14/((1+IFERROR(SUM('FNC-AGRI_prospetto riassuntivo'!$L$33,'FNC-AGRI_prospetto riassuntivo'!$L$34)/'FNC-AGRI_prospetto riassuntivo'!$L$25,0))^A14)</f>
        <v>102.78772503427146</v>
      </c>
      <c r="H14">
        <f>IF(A14=0,0,IF(OR(A14&lt;'FNC-AGRI_prospetto riassuntivo'!$L$27,A14='FNC-AGRI_prospetto riassuntivo'!$L$27),1,0))</f>
        <v>1</v>
      </c>
      <c r="J14" s="10">
        <f>IF(J13=0,0,IF('FNC-AGRI_prospetto riassuntivo'!$L$27+'FNC-AGRI_prospetto riassuntivo'!$L$30&gt;J13,J13+1,0))</f>
        <v>24</v>
      </c>
      <c r="K14" s="11">
        <f>O13*'FNC-AGRI_prospetto riassuntivo'!$L$32*Q14</f>
        <v>96.658781521668899</v>
      </c>
      <c r="L14" s="11">
        <f t="shared" si="5"/>
        <v>551.35864147004577</v>
      </c>
      <c r="M14" s="11">
        <f t="shared" si="6"/>
        <v>648.01742299171462</v>
      </c>
      <c r="N14" s="12">
        <f t="shared" si="7"/>
        <v>6556.0897284687089</v>
      </c>
      <c r="O14" s="11">
        <f>('FNC-AGRI_prospetto riassuntivo'!$L$19-N14)*Q14</f>
        <v>57443.910271531291</v>
      </c>
      <c r="P14" s="11">
        <f>K14/(1+SUM('FNC-AGRI_prospetto riassuntivo'!$L$33:$L$34)/'FNC-AGRI_prospetto riassuntivo'!$L$28)^J14</f>
        <v>89.756596698731997</v>
      </c>
      <c r="Q14">
        <f>IF(J14=0,0,IF(OR(J14&lt;'FNC-AGRI_prospetto riassuntivo'!$L$27+'FNC-AGRI_prospetto riassuntivo'!$L$30,J14='FNC-AGRI_prospetto riassuntivo'!$L$27+'FNC-AGRI_prospetto riassuntivo'!$L$30),1,0))</f>
        <v>1</v>
      </c>
    </row>
    <row r="15" spans="1:17" x14ac:dyDescent="0.25">
      <c r="A15" s="10">
        <f>IF(A14=0,0,IF('FNC-AGRI_prospetto riassuntivo'!$L$27&gt;A14,A14+1,0))</f>
        <v>0</v>
      </c>
      <c r="B15" s="11">
        <f>'FNC-AGRI_prospetto riassuntivo'!$L$19*'FNC-AGRI_prospetto riassuntivo'!$L$31*H15</f>
        <v>0</v>
      </c>
      <c r="C15" s="11">
        <v>0</v>
      </c>
      <c r="D15" s="11">
        <f t="shared" si="4"/>
        <v>0</v>
      </c>
      <c r="E15" s="11">
        <v>0</v>
      </c>
      <c r="F15" s="11">
        <f>IF(A15=0,0,'FNC-AGRI_prospetto riassuntivo'!$L$19)</f>
        <v>0</v>
      </c>
      <c r="G15" s="11">
        <f>B15/((1+IFERROR(SUM('FNC-AGRI_prospetto riassuntivo'!$L$33,'FNC-AGRI_prospetto riassuntivo'!$L$34)/'FNC-AGRI_prospetto riassuntivo'!$L$25,0))^A15)</f>
        <v>0</v>
      </c>
      <c r="H15">
        <f>IF(A15=0,0,IF(OR(A15&lt;'FNC-AGRI_prospetto riassuntivo'!$L$27,A15='FNC-AGRI_prospetto riassuntivo'!$L$27),1,0))</f>
        <v>0</v>
      </c>
      <c r="J15" s="10">
        <f>IF(J14=0,0,IF('FNC-AGRI_prospetto riassuntivo'!$L$27+'FNC-AGRI_prospetto riassuntivo'!$L$30&gt;J14,J14+1,0))</f>
        <v>25</v>
      </c>
      <c r="K15" s="11">
        <f>O14*'FNC-AGRI_prospetto riassuntivo'!$L$32*Q15</f>
        <v>95.739850452552162</v>
      </c>
      <c r="L15" s="11">
        <f t="shared" si="5"/>
        <v>552.27757253916252</v>
      </c>
      <c r="M15" s="11">
        <f t="shared" si="6"/>
        <v>648.01742299171462</v>
      </c>
      <c r="N15" s="12">
        <f t="shared" si="7"/>
        <v>7108.367301007871</v>
      </c>
      <c r="O15" s="11">
        <f>('FNC-AGRI_prospetto riassuntivo'!$L$19-N15)*Q15</f>
        <v>56891.632698992129</v>
      </c>
      <c r="P15" s="11">
        <f>K15/(1+SUM('FNC-AGRI_prospetto riassuntivo'!$L$33:$L$34)/'FNC-AGRI_prospetto riassuntivo'!$L$28)^J15</f>
        <v>88.629272250757424</v>
      </c>
      <c r="Q15">
        <f>IF(J15=0,0,IF(OR(J15&lt;'FNC-AGRI_prospetto riassuntivo'!$L$27+'FNC-AGRI_prospetto riassuntivo'!$L$30,J15='FNC-AGRI_prospetto riassuntivo'!$L$27+'FNC-AGRI_prospetto riassuntivo'!$L$30),1,0))</f>
        <v>1</v>
      </c>
    </row>
    <row r="16" spans="1:17" x14ac:dyDescent="0.25">
      <c r="A16" s="10">
        <f>IF(A15=0,0,IF('FNC-AGRI_prospetto riassuntivo'!$L$27&gt;A15,A15+1,0))</f>
        <v>0</v>
      </c>
      <c r="B16" s="11">
        <f>'FNC-AGRI_prospetto riassuntivo'!$L$19*'FNC-AGRI_prospetto riassuntivo'!$L$31*H16</f>
        <v>0</v>
      </c>
      <c r="C16" s="11">
        <v>0</v>
      </c>
      <c r="D16" s="11">
        <f t="shared" si="4"/>
        <v>0</v>
      </c>
      <c r="E16" s="11">
        <v>0</v>
      </c>
      <c r="F16" s="11">
        <f>IF(A16=0,0,'FNC-AGRI_prospetto riassuntivo'!$L$19)</f>
        <v>0</v>
      </c>
      <c r="G16" s="11">
        <f>B16/((1+IFERROR(SUM('FNC-AGRI_prospetto riassuntivo'!$L$33,'FNC-AGRI_prospetto riassuntivo'!$L$34)/'FNC-AGRI_prospetto riassuntivo'!$L$25,0))^A16)</f>
        <v>0</v>
      </c>
      <c r="H16">
        <f>IF(A16=0,0,IF(OR(A16&lt;'FNC-AGRI_prospetto riassuntivo'!$L$27,A16='FNC-AGRI_prospetto riassuntivo'!$L$27),1,0))</f>
        <v>0</v>
      </c>
      <c r="J16" s="10">
        <f>IF(J15=0,0,IF('FNC-AGRI_prospetto riassuntivo'!$L$27+'FNC-AGRI_prospetto riassuntivo'!$L$30&gt;J15,J15+1,0))</f>
        <v>26</v>
      </c>
      <c r="K16" s="11">
        <f>O15*'FNC-AGRI_prospetto riassuntivo'!$L$32*Q16</f>
        <v>94.819387831653557</v>
      </c>
      <c r="L16" s="11">
        <f t="shared" si="5"/>
        <v>553.19803516006107</v>
      </c>
      <c r="M16" s="11">
        <f t="shared" si="6"/>
        <v>648.01742299171462</v>
      </c>
      <c r="N16" s="12">
        <f t="shared" si="7"/>
        <v>7661.5653361679324</v>
      </c>
      <c r="O16" s="11">
        <f>('FNC-AGRI_prospetto riassuntivo'!$L$19-N16)*Q16</f>
        <v>56338.434663832071</v>
      </c>
      <c r="P16" s="11">
        <f>K16/(1+SUM('FNC-AGRI_prospetto riassuntivo'!$L$33:$L$34)/'FNC-AGRI_prospetto riassuntivo'!$L$28)^J16</f>
        <v>87.506630857969327</v>
      </c>
      <c r="Q16">
        <f>IF(J16=0,0,IF(OR(J16&lt;'FNC-AGRI_prospetto riassuntivo'!$L$27+'FNC-AGRI_prospetto riassuntivo'!$L$30,J16='FNC-AGRI_prospetto riassuntivo'!$L$27+'FNC-AGRI_prospetto riassuntivo'!$L$30),1,0))</f>
        <v>1</v>
      </c>
    </row>
    <row r="17" spans="1:17" x14ac:dyDescent="0.25">
      <c r="A17" s="10">
        <f>IF(A16=0,0,IF('FNC-AGRI_prospetto riassuntivo'!$L$27&gt;A16,A16+1,0))</f>
        <v>0</v>
      </c>
      <c r="B17" s="11">
        <f>'FNC-AGRI_prospetto riassuntivo'!$L$19*'FNC-AGRI_prospetto riassuntivo'!$L$31*H17</f>
        <v>0</v>
      </c>
      <c r="C17" s="11">
        <v>0</v>
      </c>
      <c r="D17" s="11">
        <f t="shared" si="4"/>
        <v>0</v>
      </c>
      <c r="E17" s="11">
        <v>0</v>
      </c>
      <c r="F17" s="11">
        <f>IF(A17=0,0,'FNC-AGRI_prospetto riassuntivo'!$L$19)</f>
        <v>0</v>
      </c>
      <c r="G17" s="11">
        <f>B17/((1+IFERROR(SUM('FNC-AGRI_prospetto riassuntivo'!$L$33,'FNC-AGRI_prospetto riassuntivo'!$L$34)/'FNC-AGRI_prospetto riassuntivo'!$L$25,0))^A17)</f>
        <v>0</v>
      </c>
      <c r="H17">
        <f>IF(A17=0,0,IF(OR(A17&lt;'FNC-AGRI_prospetto riassuntivo'!$L$27,A17='FNC-AGRI_prospetto riassuntivo'!$L$27),1,0))</f>
        <v>0</v>
      </c>
      <c r="J17" s="10">
        <f>IF(J16=0,0,IF('FNC-AGRI_prospetto riassuntivo'!$L$27+'FNC-AGRI_prospetto riassuntivo'!$L$30&gt;J16,J16+1,0))</f>
        <v>27</v>
      </c>
      <c r="K17" s="11">
        <f>O16*'FNC-AGRI_prospetto riassuntivo'!$L$32*Q17</f>
        <v>93.897391106386792</v>
      </c>
      <c r="L17" s="11">
        <f t="shared" si="5"/>
        <v>554.12003188532788</v>
      </c>
      <c r="M17" s="11">
        <f t="shared" si="6"/>
        <v>648.01742299171462</v>
      </c>
      <c r="N17" s="12">
        <f t="shared" si="7"/>
        <v>8215.6853680532604</v>
      </c>
      <c r="O17" s="11">
        <f>('FNC-AGRI_prospetto riassuntivo'!$L$19-N17)*Q17</f>
        <v>55784.314631946741</v>
      </c>
      <c r="P17" s="11">
        <f>K17/(1+SUM('FNC-AGRI_prospetto riassuntivo'!$L$33:$L$34)/'FNC-AGRI_prospetto riassuntivo'!$L$28)^J17</f>
        <v>86.388656369761904</v>
      </c>
      <c r="Q17">
        <f>IF(J17=0,0,IF(OR(J17&lt;'FNC-AGRI_prospetto riassuntivo'!$L$27+'FNC-AGRI_prospetto riassuntivo'!$L$30,J17='FNC-AGRI_prospetto riassuntivo'!$L$27+'FNC-AGRI_prospetto riassuntivo'!$L$30),1,0))</f>
        <v>1</v>
      </c>
    </row>
    <row r="18" spans="1:17" x14ac:dyDescent="0.25">
      <c r="A18" s="10">
        <f>IF(A17=0,0,IF('FNC-AGRI_prospetto riassuntivo'!$L$27&gt;A17,A17+1,0))</f>
        <v>0</v>
      </c>
      <c r="B18" s="11">
        <f>'FNC-AGRI_prospetto riassuntivo'!$L$19*'FNC-AGRI_prospetto riassuntivo'!$L$31*H18</f>
        <v>0</v>
      </c>
      <c r="C18" s="11">
        <v>0</v>
      </c>
      <c r="D18" s="11">
        <f t="shared" si="4"/>
        <v>0</v>
      </c>
      <c r="E18" s="11">
        <v>0</v>
      </c>
      <c r="F18" s="11">
        <f>IF(A18=0,0,'FNC-AGRI_prospetto riassuntivo'!$L$19)</f>
        <v>0</v>
      </c>
      <c r="G18" s="11">
        <f>B18/((1+IFERROR(SUM('FNC-AGRI_prospetto riassuntivo'!$L$33,'FNC-AGRI_prospetto riassuntivo'!$L$34)/'FNC-AGRI_prospetto riassuntivo'!$L$25,0))^A18)</f>
        <v>0</v>
      </c>
      <c r="H18">
        <f>IF(A18=0,0,IF(OR(A18&lt;'FNC-AGRI_prospetto riassuntivo'!$L$27,A18='FNC-AGRI_prospetto riassuntivo'!$L$27),1,0))</f>
        <v>0</v>
      </c>
      <c r="J18" s="10">
        <f>IF(J17=0,0,IF('FNC-AGRI_prospetto riassuntivo'!$L$27+'FNC-AGRI_prospetto riassuntivo'!$L$30&gt;J17,J17+1,0))</f>
        <v>28</v>
      </c>
      <c r="K18" s="11">
        <f>O17*'FNC-AGRI_prospetto riassuntivo'!$L$32*Q18</f>
        <v>92.973857719911237</v>
      </c>
      <c r="L18" s="11">
        <f t="shared" si="5"/>
        <v>555.04356527180335</v>
      </c>
      <c r="M18" s="11">
        <f t="shared" si="6"/>
        <v>648.01742299171462</v>
      </c>
      <c r="N18" s="12">
        <f t="shared" si="7"/>
        <v>8770.7289333250628</v>
      </c>
      <c r="O18" s="11">
        <f>('FNC-AGRI_prospetto riassuntivo'!$L$19-N18)*Q18</f>
        <v>55229.271066674934</v>
      </c>
      <c r="P18" s="11">
        <f>K18/(1+SUM('FNC-AGRI_prospetto riassuntivo'!$L$33:$L$34)/'FNC-AGRI_prospetto riassuntivo'!$L$28)^J18</f>
        <v>85.275332687746527</v>
      </c>
      <c r="Q18">
        <f>IF(J18=0,0,IF(OR(J18&lt;'FNC-AGRI_prospetto riassuntivo'!$L$27+'FNC-AGRI_prospetto riassuntivo'!$L$30,J18='FNC-AGRI_prospetto riassuntivo'!$L$27+'FNC-AGRI_prospetto riassuntivo'!$L$30),1,0))</f>
        <v>1</v>
      </c>
    </row>
    <row r="19" spans="1:17" x14ac:dyDescent="0.25">
      <c r="A19" s="10">
        <f>IF(A18=0,0,IF('FNC-AGRI_prospetto riassuntivo'!$L$27&gt;A18,A18+1,0))</f>
        <v>0</v>
      </c>
      <c r="B19" s="11">
        <f>'FNC-AGRI_prospetto riassuntivo'!$L$19*'FNC-AGRI_prospetto riassuntivo'!$L$31*H19</f>
        <v>0</v>
      </c>
      <c r="C19" s="11">
        <v>0</v>
      </c>
      <c r="D19" s="11">
        <f t="shared" si="4"/>
        <v>0</v>
      </c>
      <c r="E19" s="11">
        <v>0</v>
      </c>
      <c r="F19" s="11">
        <f>IF(A19=0,0,'FNC-AGRI_prospetto riassuntivo'!$L$19)</f>
        <v>0</v>
      </c>
      <c r="G19" s="11">
        <f>B19/((1+IFERROR(SUM('FNC-AGRI_prospetto riassuntivo'!$L$33,'FNC-AGRI_prospetto riassuntivo'!$L$34)/'FNC-AGRI_prospetto riassuntivo'!$L$25,0))^A19)</f>
        <v>0</v>
      </c>
      <c r="H19">
        <f>IF(A19=0,0,IF(OR(A19&lt;'FNC-AGRI_prospetto riassuntivo'!$L$27,A19='FNC-AGRI_prospetto riassuntivo'!$L$27),1,0))</f>
        <v>0</v>
      </c>
      <c r="J19" s="10">
        <f>IF(J18=0,0,IF('FNC-AGRI_prospetto riassuntivo'!$L$27+'FNC-AGRI_prospetto riassuntivo'!$L$30&gt;J18,J18+1,0))</f>
        <v>29</v>
      </c>
      <c r="K19" s="11">
        <f>O18*'FNC-AGRI_prospetto riassuntivo'!$L$32*Q19</f>
        <v>92.0487851111249</v>
      </c>
      <c r="L19" s="11">
        <f t="shared" si="5"/>
        <v>555.96863788058977</v>
      </c>
      <c r="M19" s="11">
        <f t="shared" si="6"/>
        <v>648.01742299171462</v>
      </c>
      <c r="N19" s="12">
        <f t="shared" si="7"/>
        <v>9326.6975712056519</v>
      </c>
      <c r="O19" s="11">
        <f>('FNC-AGRI_prospetto riassuntivo'!$L$19-N19)*Q19</f>
        <v>54673.302428794348</v>
      </c>
      <c r="P19" s="11">
        <f>K19/(1+SUM('FNC-AGRI_prospetto riassuntivo'!$L$33:$L$34)/'FNC-AGRI_prospetto riassuntivo'!$L$28)^J19</f>
        <v>84.166643765587523</v>
      </c>
      <c r="Q19">
        <f>IF(J19=0,0,IF(OR(J19&lt;'FNC-AGRI_prospetto riassuntivo'!$L$27+'FNC-AGRI_prospetto riassuntivo'!$L$30,J19='FNC-AGRI_prospetto riassuntivo'!$L$27+'FNC-AGRI_prospetto riassuntivo'!$L$30),1,0))</f>
        <v>1</v>
      </c>
    </row>
    <row r="20" spans="1:17" x14ac:dyDescent="0.25">
      <c r="A20" s="10">
        <f>IF(A19=0,0,IF('FNC-AGRI_prospetto riassuntivo'!$L$27&gt;A19,A19+1,0))</f>
        <v>0</v>
      </c>
      <c r="B20" s="11">
        <f>'FNC-AGRI_prospetto riassuntivo'!$L$19*'FNC-AGRI_prospetto riassuntivo'!$L$31*H20</f>
        <v>0</v>
      </c>
      <c r="C20" s="11">
        <v>0</v>
      </c>
      <c r="D20" s="11">
        <f t="shared" si="4"/>
        <v>0</v>
      </c>
      <c r="E20" s="11">
        <v>0</v>
      </c>
      <c r="F20" s="11">
        <f>IF(A20=0,0,'FNC-AGRI_prospetto riassuntivo'!$L$19)</f>
        <v>0</v>
      </c>
      <c r="G20" s="11">
        <f>B20/((1+IFERROR(SUM('FNC-AGRI_prospetto riassuntivo'!$L$33,'FNC-AGRI_prospetto riassuntivo'!$L$34)/'FNC-AGRI_prospetto riassuntivo'!$L$25,0))^A20)</f>
        <v>0</v>
      </c>
      <c r="H20">
        <f>IF(A20=0,0,IF(OR(A20&lt;'FNC-AGRI_prospetto riassuntivo'!$L$27,A20='FNC-AGRI_prospetto riassuntivo'!$L$27),1,0))</f>
        <v>0</v>
      </c>
      <c r="J20" s="10">
        <f>IF(J19=0,0,IF('FNC-AGRI_prospetto riassuntivo'!$L$27+'FNC-AGRI_prospetto riassuntivo'!$L$30&gt;J19,J19+1,0))</f>
        <v>30</v>
      </c>
      <c r="K20" s="11">
        <f>O19*'FNC-AGRI_prospetto riassuntivo'!$L$32*Q20</f>
        <v>91.122170714657258</v>
      </c>
      <c r="L20" s="11">
        <f t="shared" si="5"/>
        <v>556.89525227705735</v>
      </c>
      <c r="M20" s="11">
        <f t="shared" si="6"/>
        <v>648.01742299171462</v>
      </c>
      <c r="N20" s="12">
        <f t="shared" si="7"/>
        <v>9883.5928234827097</v>
      </c>
      <c r="O20" s="11">
        <f>('FNC-AGRI_prospetto riassuntivo'!$L$19-N20)*Q20</f>
        <v>54116.407176517292</v>
      </c>
      <c r="P20" s="11">
        <f>K20/(1+SUM('FNC-AGRI_prospetto riassuntivo'!$L$33:$L$34)/'FNC-AGRI_prospetto riassuntivo'!$L$28)^J20</f>
        <v>83.062573608838164</v>
      </c>
      <c r="Q20">
        <f>IF(J20=0,0,IF(OR(J20&lt;'FNC-AGRI_prospetto riassuntivo'!$L$27+'FNC-AGRI_prospetto riassuntivo'!$L$30,J20='FNC-AGRI_prospetto riassuntivo'!$L$27+'FNC-AGRI_prospetto riassuntivo'!$L$30),1,0))</f>
        <v>1</v>
      </c>
    </row>
    <row r="21" spans="1:17" x14ac:dyDescent="0.25">
      <c r="A21" s="10">
        <f>IF(A20=0,0,IF('FNC-AGRI_prospetto riassuntivo'!$L$27&gt;A20,A20+1,0))</f>
        <v>0</v>
      </c>
      <c r="B21" s="11">
        <f>'FNC-AGRI_prospetto riassuntivo'!$L$19*'FNC-AGRI_prospetto riassuntivo'!$L$31*H21</f>
        <v>0</v>
      </c>
      <c r="C21" s="11">
        <v>0</v>
      </c>
      <c r="D21" s="11">
        <f t="shared" si="4"/>
        <v>0</v>
      </c>
      <c r="E21" s="11">
        <v>0</v>
      </c>
      <c r="F21" s="11">
        <f>IF(A21=0,0,'FNC-AGRI_prospetto riassuntivo'!$L$19)</f>
        <v>0</v>
      </c>
      <c r="G21" s="11">
        <f>B21/((1+IFERROR(SUM('FNC-AGRI_prospetto riassuntivo'!$L$33,'FNC-AGRI_prospetto riassuntivo'!$L$34)/'FNC-AGRI_prospetto riassuntivo'!$L$25,0))^A21)</f>
        <v>0</v>
      </c>
      <c r="H21">
        <f>IF(A21=0,0,IF(OR(A21&lt;'FNC-AGRI_prospetto riassuntivo'!$L$27,A21='FNC-AGRI_prospetto riassuntivo'!$L$27),1,0))</f>
        <v>0</v>
      </c>
      <c r="J21" s="10">
        <f>IF(J20=0,0,IF('FNC-AGRI_prospetto riassuntivo'!$L$27+'FNC-AGRI_prospetto riassuntivo'!$L$30&gt;J20,J20+1,0))</f>
        <v>31</v>
      </c>
      <c r="K21" s="11">
        <f>O20*'FNC-AGRI_prospetto riassuntivo'!$L$32*Q21</f>
        <v>90.194011960862156</v>
      </c>
      <c r="L21" s="11">
        <f t="shared" si="5"/>
        <v>557.82341103085241</v>
      </c>
      <c r="M21" s="11">
        <f t="shared" si="6"/>
        <v>648.01742299171462</v>
      </c>
      <c r="N21" s="12">
        <f t="shared" si="7"/>
        <v>10441.416234513563</v>
      </c>
      <c r="O21" s="11">
        <f>('FNC-AGRI_prospetto riassuntivo'!$L$19-N21)*Q21</f>
        <v>53558.583765486437</v>
      </c>
      <c r="P21" s="11">
        <f>K21/(1+SUM('FNC-AGRI_prospetto riassuntivo'!$L$33:$L$34)/'FNC-AGRI_prospetto riassuntivo'!$L$28)^J21</f>
        <v>81.963106274777203</v>
      </c>
      <c r="Q21">
        <f>IF(J21=0,0,IF(OR(J21&lt;'FNC-AGRI_prospetto riassuntivo'!$L$27+'FNC-AGRI_prospetto riassuntivo'!$L$30,J21='FNC-AGRI_prospetto riassuntivo'!$L$27+'FNC-AGRI_prospetto riassuntivo'!$L$30),1,0))</f>
        <v>1</v>
      </c>
    </row>
    <row r="22" spans="1:17" x14ac:dyDescent="0.25">
      <c r="A22" s="10">
        <f>IF(A21=0,0,IF('FNC-AGRI_prospetto riassuntivo'!$L$27&gt;A21,A21+1,0))</f>
        <v>0</v>
      </c>
      <c r="B22" s="11">
        <f>'FNC-AGRI_prospetto riassuntivo'!$L$19*'FNC-AGRI_prospetto riassuntivo'!$L$31*H22</f>
        <v>0</v>
      </c>
      <c r="C22" s="11">
        <v>0</v>
      </c>
      <c r="D22" s="11">
        <f t="shared" si="4"/>
        <v>0</v>
      </c>
      <c r="E22" s="11">
        <v>0</v>
      </c>
      <c r="F22" s="11">
        <f>IF(A22=0,0,'FNC-AGRI_prospetto riassuntivo'!$L$19)</f>
        <v>0</v>
      </c>
      <c r="G22" s="11">
        <f>B22/((1+IFERROR(SUM('FNC-AGRI_prospetto riassuntivo'!$L$33,'FNC-AGRI_prospetto riassuntivo'!$L$34)/'FNC-AGRI_prospetto riassuntivo'!$L$25,0))^A22)</f>
        <v>0</v>
      </c>
      <c r="H22">
        <f>IF(A22=0,0,IF(OR(A22&lt;'FNC-AGRI_prospetto riassuntivo'!$L$27,A22='FNC-AGRI_prospetto riassuntivo'!$L$27),1,0))</f>
        <v>0</v>
      </c>
      <c r="J22" s="10">
        <f>IF(J21=0,0,IF('FNC-AGRI_prospetto riassuntivo'!$L$27+'FNC-AGRI_prospetto riassuntivo'!$L$30&gt;J21,J21+1,0))</f>
        <v>32</v>
      </c>
      <c r="K22" s="11">
        <f>O21*'FNC-AGRI_prospetto riassuntivo'!$L$32*Q22</f>
        <v>89.264306275810739</v>
      </c>
      <c r="L22" s="11">
        <f t="shared" si="5"/>
        <v>558.75311671590384</v>
      </c>
      <c r="M22" s="11">
        <f t="shared" si="6"/>
        <v>648.01742299171462</v>
      </c>
      <c r="N22" s="12">
        <f t="shared" si="7"/>
        <v>11000.169351229466</v>
      </c>
      <c r="O22" s="11">
        <f>('FNC-AGRI_prospetto riassuntivo'!$L$19-N22)*Q22</f>
        <v>52999.830648770534</v>
      </c>
      <c r="P22" s="11">
        <f>K22/(1+SUM('FNC-AGRI_prospetto riassuntivo'!$L$33:$L$34)/'FNC-AGRI_prospetto riassuntivo'!$L$28)^J22</f>
        <v>80.868225872246285</v>
      </c>
      <c r="Q22">
        <f>IF(J22=0,0,IF(OR(J22&lt;'FNC-AGRI_prospetto riassuntivo'!$L$27+'FNC-AGRI_prospetto riassuntivo'!$L$30,J22='FNC-AGRI_prospetto riassuntivo'!$L$27+'FNC-AGRI_prospetto riassuntivo'!$L$30),1,0))</f>
        <v>1</v>
      </c>
    </row>
    <row r="23" spans="1:17" x14ac:dyDescent="0.25">
      <c r="A23" s="10">
        <f>IF(A22=0,0,IF('FNC-AGRI_prospetto riassuntivo'!$L$27&gt;A22,A22+1,0))</f>
        <v>0</v>
      </c>
      <c r="B23" s="11">
        <f>'FNC-AGRI_prospetto riassuntivo'!$L$19*'FNC-AGRI_prospetto riassuntivo'!$L$31*H23</f>
        <v>0</v>
      </c>
      <c r="C23" s="11">
        <v>0</v>
      </c>
      <c r="D23" s="11">
        <f t="shared" si="4"/>
        <v>0</v>
      </c>
      <c r="E23" s="11">
        <v>0</v>
      </c>
      <c r="F23" s="11">
        <f>IF(A23=0,0,'FNC-AGRI_prospetto riassuntivo'!$L$19)</f>
        <v>0</v>
      </c>
      <c r="G23" s="11">
        <f>B23/((1+IFERROR(SUM('FNC-AGRI_prospetto riassuntivo'!$L$33,'FNC-AGRI_prospetto riassuntivo'!$L$34)/'FNC-AGRI_prospetto riassuntivo'!$L$25,0))^A23)</f>
        <v>0</v>
      </c>
      <c r="H23">
        <f>IF(A23=0,0,IF(OR(A23&lt;'FNC-AGRI_prospetto riassuntivo'!$L$27,A23='FNC-AGRI_prospetto riassuntivo'!$L$27),1,0))</f>
        <v>0</v>
      </c>
      <c r="J23" s="10">
        <f>IF(J22=0,0,IF('FNC-AGRI_prospetto riassuntivo'!$L$27+'FNC-AGRI_prospetto riassuntivo'!$L$30&gt;J22,J22+1,0))</f>
        <v>33</v>
      </c>
      <c r="K23" s="11">
        <f>O22*'FNC-AGRI_prospetto riassuntivo'!$L$32*Q23</f>
        <v>88.333051081284225</v>
      </c>
      <c r="L23" s="11">
        <f t="shared" si="5"/>
        <v>559.6843719104304</v>
      </c>
      <c r="M23" s="11">
        <f t="shared" si="6"/>
        <v>648.01742299171462</v>
      </c>
      <c r="N23" s="12">
        <f t="shared" si="7"/>
        <v>11559.853723139897</v>
      </c>
      <c r="O23" s="11">
        <f>('FNC-AGRI_prospetto riassuntivo'!$L$19-N23)*Q23</f>
        <v>52440.146276860105</v>
      </c>
      <c r="P23" s="11">
        <f>K23/(1+SUM('FNC-AGRI_prospetto riassuntivo'!$L$33:$L$34)/'FNC-AGRI_prospetto riassuntivo'!$L$28)^J23</f>
        <v>79.777916561487274</v>
      </c>
      <c r="Q23">
        <f>IF(J23=0,0,IF(OR(J23&lt;'FNC-AGRI_prospetto riassuntivo'!$L$27+'FNC-AGRI_prospetto riassuntivo'!$L$30,J23='FNC-AGRI_prospetto riassuntivo'!$L$27+'FNC-AGRI_prospetto riassuntivo'!$L$30),1,0))</f>
        <v>1</v>
      </c>
    </row>
    <row r="24" spans="1:17" x14ac:dyDescent="0.25">
      <c r="A24" s="10">
        <f>IF(A23=0,0,IF('FNC-AGRI_prospetto riassuntivo'!$L$27&gt;A23,A23+1,0))</f>
        <v>0</v>
      </c>
      <c r="B24" s="11">
        <f>'FNC-AGRI_prospetto riassuntivo'!$L$19*'FNC-AGRI_prospetto riassuntivo'!$L$31*H24</f>
        <v>0</v>
      </c>
      <c r="C24" s="11">
        <v>0</v>
      </c>
      <c r="D24" s="11">
        <f t="shared" si="4"/>
        <v>0</v>
      </c>
      <c r="E24" s="11">
        <v>0</v>
      </c>
      <c r="F24" s="11">
        <f>IF(A24=0,0,'FNC-AGRI_prospetto riassuntivo'!$L$19)</f>
        <v>0</v>
      </c>
      <c r="G24" s="11">
        <f>B24/((1+IFERROR(SUM('FNC-AGRI_prospetto riassuntivo'!$L$33,'FNC-AGRI_prospetto riassuntivo'!$L$34)/'FNC-AGRI_prospetto riassuntivo'!$L$25,0))^A24)</f>
        <v>0</v>
      </c>
      <c r="H24">
        <f>IF(A24=0,0,IF(OR(A24&lt;'FNC-AGRI_prospetto riassuntivo'!$L$27,A24='FNC-AGRI_prospetto riassuntivo'!$L$27),1,0))</f>
        <v>0</v>
      </c>
      <c r="J24" s="10">
        <f>IF(J23=0,0,IF('FNC-AGRI_prospetto riassuntivo'!$L$27+'FNC-AGRI_prospetto riassuntivo'!$L$30&gt;J23,J23+1,0))</f>
        <v>34</v>
      </c>
      <c r="K24" s="11">
        <f>O23*'FNC-AGRI_prospetto riassuntivo'!$L$32*Q24</f>
        <v>87.400243794766851</v>
      </c>
      <c r="L24" s="11">
        <f t="shared" si="5"/>
        <v>560.61717919694775</v>
      </c>
      <c r="M24" s="11">
        <f t="shared" si="6"/>
        <v>648.01742299171462</v>
      </c>
      <c r="N24" s="12">
        <f t="shared" si="7"/>
        <v>12120.470902336845</v>
      </c>
      <c r="O24" s="11">
        <f>('FNC-AGRI_prospetto riassuntivo'!$L$19-N24)*Q24</f>
        <v>51879.529097663151</v>
      </c>
      <c r="P24" s="11">
        <f>K24/(1+SUM('FNC-AGRI_prospetto riassuntivo'!$L$33:$L$34)/'FNC-AGRI_prospetto riassuntivo'!$L$28)^J24</f>
        <v>78.692162553980566</v>
      </c>
      <c r="Q24">
        <f>IF(J24=0,0,IF(OR(J24&lt;'FNC-AGRI_prospetto riassuntivo'!$L$27+'FNC-AGRI_prospetto riassuntivo'!$L$30,J24='FNC-AGRI_prospetto riassuntivo'!$L$27+'FNC-AGRI_prospetto riassuntivo'!$L$30),1,0))</f>
        <v>1</v>
      </c>
    </row>
    <row r="25" spans="1:17" x14ac:dyDescent="0.25">
      <c r="A25" s="10">
        <f>IF(A24=0,0,IF('FNC-AGRI_prospetto riassuntivo'!$L$27&gt;A24,A24+1,0))</f>
        <v>0</v>
      </c>
      <c r="B25" s="11">
        <f>'FNC-AGRI_prospetto riassuntivo'!$L$19*'FNC-AGRI_prospetto riassuntivo'!$L$31*H25</f>
        <v>0</v>
      </c>
      <c r="C25" s="11">
        <v>0</v>
      </c>
      <c r="D25" s="11">
        <f t="shared" si="4"/>
        <v>0</v>
      </c>
      <c r="E25" s="11">
        <v>0</v>
      </c>
      <c r="F25" s="11">
        <f>IF(A25=0,0,'FNC-AGRI_prospetto riassuntivo'!$L$19)</f>
        <v>0</v>
      </c>
      <c r="G25" s="11">
        <f>B25/((1+IFERROR(SUM('FNC-AGRI_prospetto riassuntivo'!$L$33,'FNC-AGRI_prospetto riassuntivo'!$L$34)/'FNC-AGRI_prospetto riassuntivo'!$L$25,0))^A25)</f>
        <v>0</v>
      </c>
      <c r="H25">
        <f>IF(A25=0,0,IF(OR(A25&lt;'FNC-AGRI_prospetto riassuntivo'!$L$27,A25='FNC-AGRI_prospetto riassuntivo'!$L$27),1,0))</f>
        <v>0</v>
      </c>
      <c r="J25" s="10">
        <f>IF(J24=0,0,IF('FNC-AGRI_prospetto riassuntivo'!$L$27+'FNC-AGRI_prospetto riassuntivo'!$L$30&gt;J24,J24+1,0))</f>
        <v>35</v>
      </c>
      <c r="K25" s="11">
        <f>O24*'FNC-AGRI_prospetto riassuntivo'!$L$32*Q25</f>
        <v>86.465881829438587</v>
      </c>
      <c r="L25" s="11">
        <f t="shared" si="5"/>
        <v>561.55154116227607</v>
      </c>
      <c r="M25" s="11">
        <f t="shared" si="6"/>
        <v>648.01742299171462</v>
      </c>
      <c r="N25" s="12">
        <f t="shared" si="7"/>
        <v>12682.022443499121</v>
      </c>
      <c r="O25" s="11">
        <f>('FNC-AGRI_prospetto riassuntivo'!$L$19-N25)*Q25</f>
        <v>51317.977556500875</v>
      </c>
      <c r="P25" s="11">
        <f>K25/(1+SUM('FNC-AGRI_prospetto riassuntivo'!$L$33:$L$34)/'FNC-AGRI_prospetto riassuntivo'!$L$28)^J25</f>
        <v>77.610948112283609</v>
      </c>
      <c r="Q25">
        <f>IF(J25=0,0,IF(OR(J25&lt;'FNC-AGRI_prospetto riassuntivo'!$L$27+'FNC-AGRI_prospetto riassuntivo'!$L$30,J25='FNC-AGRI_prospetto riassuntivo'!$L$27+'FNC-AGRI_prospetto riassuntivo'!$L$30),1,0))</f>
        <v>1</v>
      </c>
    </row>
    <row r="26" spans="1:17" x14ac:dyDescent="0.25">
      <c r="A26" s="10">
        <f>IF(A25=0,0,IF('FNC-AGRI_prospetto riassuntivo'!$L$27&gt;A25,A25+1,0))</f>
        <v>0</v>
      </c>
      <c r="B26" s="11">
        <f>'FNC-AGRI_prospetto riassuntivo'!$L$19*'FNC-AGRI_prospetto riassuntivo'!$L$31*H26</f>
        <v>0</v>
      </c>
      <c r="C26" s="11">
        <v>0</v>
      </c>
      <c r="D26" s="11">
        <f t="shared" si="4"/>
        <v>0</v>
      </c>
      <c r="E26" s="11">
        <v>0</v>
      </c>
      <c r="F26" s="11">
        <f>IF(A26=0,0,'FNC-AGRI_prospetto riassuntivo'!$L$19)</f>
        <v>0</v>
      </c>
      <c r="G26" s="11">
        <f>B26/((1+IFERROR(SUM('FNC-AGRI_prospetto riassuntivo'!$L$33,'FNC-AGRI_prospetto riassuntivo'!$L$34)/'FNC-AGRI_prospetto riassuntivo'!$L$25,0))^A26)</f>
        <v>0</v>
      </c>
      <c r="H26">
        <f>IF(A26=0,0,IF(OR(A26&lt;'FNC-AGRI_prospetto riassuntivo'!$L$27,A26='FNC-AGRI_prospetto riassuntivo'!$L$27),1,0))</f>
        <v>0</v>
      </c>
      <c r="J26" s="10">
        <f>IF(J25=0,0,IF('FNC-AGRI_prospetto riassuntivo'!$L$27+'FNC-AGRI_prospetto riassuntivo'!$L$30&gt;J25,J25+1,0))</f>
        <v>36</v>
      </c>
      <c r="K26" s="11">
        <f>O25*'FNC-AGRI_prospetto riassuntivo'!$L$32*Q26</f>
        <v>85.529962594168126</v>
      </c>
      <c r="L26" s="11">
        <f t="shared" si="5"/>
        <v>562.48746039754656</v>
      </c>
      <c r="M26" s="11">
        <f t="shared" si="6"/>
        <v>648.01742299171462</v>
      </c>
      <c r="N26" s="12">
        <f t="shared" si="7"/>
        <v>13244.509903896667</v>
      </c>
      <c r="O26" s="11">
        <f>('FNC-AGRI_prospetto riassuntivo'!$L$19-N26)*Q26</f>
        <v>50755.490096103335</v>
      </c>
      <c r="P26" s="11">
        <f>K26/(1+SUM('FNC-AGRI_prospetto riassuntivo'!$L$33:$L$34)/'FNC-AGRI_prospetto riassuntivo'!$L$28)^J26</f>
        <v>76.534257549870233</v>
      </c>
      <c r="Q26">
        <f>IF(J26=0,0,IF(OR(J26&lt;'FNC-AGRI_prospetto riassuntivo'!$L$27+'FNC-AGRI_prospetto riassuntivo'!$L$30,J26='FNC-AGRI_prospetto riassuntivo'!$L$27+'FNC-AGRI_prospetto riassuntivo'!$L$30),1,0))</f>
        <v>1</v>
      </c>
    </row>
    <row r="27" spans="1:17" x14ac:dyDescent="0.25">
      <c r="J27" s="10">
        <f>IF(J26=0,0,IF('FNC-AGRI_prospetto riassuntivo'!$L$27+'FNC-AGRI_prospetto riassuntivo'!$L$30&gt;J26,J26+1,0))</f>
        <v>37</v>
      </c>
      <c r="K27" s="11">
        <f>O26*'FNC-AGRI_prospetto riassuntivo'!$L$32*Q27</f>
        <v>84.592483493505569</v>
      </c>
      <c r="L27" s="11">
        <f t="shared" si="5"/>
        <v>563.42493949820903</v>
      </c>
      <c r="M27" s="11">
        <f t="shared" si="6"/>
        <v>648.01742299171462</v>
      </c>
      <c r="N27" s="12">
        <f t="shared" si="7"/>
        <v>13807.934843394876</v>
      </c>
      <c r="O27" s="11">
        <f>('FNC-AGRI_prospetto riassuntivo'!$L$19-N27)*Q27</f>
        <v>50192.065156605124</v>
      </c>
      <c r="P27" s="11">
        <f>K27/(1+SUM('FNC-AGRI_prospetto riassuntivo'!$L$33:$L$34)/'FNC-AGRI_prospetto riassuntivo'!$L$28)^J27</f>
        <v>75.462075230970072</v>
      </c>
      <c r="Q27">
        <f>IF(J27=0,0,IF(OR(J27&lt;'FNC-AGRI_prospetto riassuntivo'!$L$27+'FNC-AGRI_prospetto riassuntivo'!$L$30,J27='FNC-AGRI_prospetto riassuntivo'!$L$27+'FNC-AGRI_prospetto riassuntivo'!$L$30),1,0))</f>
        <v>1</v>
      </c>
    </row>
    <row r="28" spans="1:17" x14ac:dyDescent="0.25">
      <c r="J28" s="10">
        <f>IF(J27=0,0,IF('FNC-AGRI_prospetto riassuntivo'!$L$27+'FNC-AGRI_prospetto riassuntivo'!$L$30&gt;J27,J27+1,0))</f>
        <v>38</v>
      </c>
      <c r="K28" s="11">
        <f>O27*'FNC-AGRI_prospetto riassuntivo'!$L$32*Q28</f>
        <v>83.653441927675217</v>
      </c>
      <c r="L28" s="11">
        <f t="shared" si="5"/>
        <v>564.36398106403942</v>
      </c>
      <c r="M28" s="11">
        <f t="shared" si="6"/>
        <v>648.01742299171462</v>
      </c>
      <c r="N28" s="12">
        <f t="shared" si="7"/>
        <v>14372.298824458916</v>
      </c>
      <c r="O28" s="11">
        <f>('FNC-AGRI_prospetto riassuntivo'!$L$19-N28)*Q28</f>
        <v>49627.701175541086</v>
      </c>
      <c r="P28" s="11">
        <f>K28/(1+SUM('FNC-AGRI_prospetto riassuntivo'!$L$33:$L$34)/'FNC-AGRI_prospetto riassuntivo'!$L$28)^J28</f>
        <v>74.394385570408843</v>
      </c>
      <c r="Q28">
        <f>IF(J28=0,0,IF(OR(J28&lt;'FNC-AGRI_prospetto riassuntivo'!$L$27+'FNC-AGRI_prospetto riassuntivo'!$L$30,J28='FNC-AGRI_prospetto riassuntivo'!$L$27+'FNC-AGRI_prospetto riassuntivo'!$L$30),1,0))</f>
        <v>1</v>
      </c>
    </row>
    <row r="29" spans="1:17" x14ac:dyDescent="0.25">
      <c r="J29" s="10">
        <f>IF(J28=0,0,IF('FNC-AGRI_prospetto riassuntivo'!$L$27+'FNC-AGRI_prospetto riassuntivo'!$L$30&gt;J28,J28+1,0))</f>
        <v>39</v>
      </c>
      <c r="K29" s="11">
        <f>O28*'FNC-AGRI_prospetto riassuntivo'!$L$32*Q29</f>
        <v>82.712835292568485</v>
      </c>
      <c r="L29" s="11">
        <f t="shared" si="5"/>
        <v>565.30458769914617</v>
      </c>
      <c r="M29" s="11">
        <f t="shared" si="6"/>
        <v>648.01742299171462</v>
      </c>
      <c r="N29" s="12">
        <f t="shared" si="7"/>
        <v>14937.603412158061</v>
      </c>
      <c r="O29" s="11">
        <f>('FNC-AGRI_prospetto riassuntivo'!$L$19-N29)*Q29</f>
        <v>49062.39658784194</v>
      </c>
      <c r="P29" s="11">
        <f>K29/(1+SUM('FNC-AGRI_prospetto riassuntivo'!$L$33:$L$34)/'FNC-AGRI_prospetto riassuntivo'!$L$28)^J29</f>
        <v>73.331173033448934</v>
      </c>
      <c r="Q29">
        <f>IF(J29=0,0,IF(OR(J29&lt;'FNC-AGRI_prospetto riassuntivo'!$L$27+'FNC-AGRI_prospetto riassuntivo'!$L$30,J29='FNC-AGRI_prospetto riassuntivo'!$L$27+'FNC-AGRI_prospetto riassuntivo'!$L$30),1,0))</f>
        <v>1</v>
      </c>
    </row>
    <row r="30" spans="1:17" x14ac:dyDescent="0.25">
      <c r="J30" s="10">
        <f>IF(J29=0,0,IF('FNC-AGRI_prospetto riassuntivo'!$L$27+'FNC-AGRI_prospetto riassuntivo'!$L$30&gt;J29,J29+1,0))</f>
        <v>40</v>
      </c>
      <c r="K30" s="11">
        <f>O29*'FNC-AGRI_prospetto riassuntivo'!$L$32*Q30</f>
        <v>81.770660979736576</v>
      </c>
      <c r="L30" s="11">
        <f t="shared" si="5"/>
        <v>566.24676201197803</v>
      </c>
      <c r="M30" s="11">
        <f t="shared" si="6"/>
        <v>648.01742299171462</v>
      </c>
      <c r="N30" s="12">
        <f t="shared" si="7"/>
        <v>15503.85017417004</v>
      </c>
      <c r="O30" s="11">
        <f>('FNC-AGRI_prospetto riassuntivo'!$L$19-N30)*Q30</f>
        <v>48496.149825829962</v>
      </c>
      <c r="P30" s="11">
        <f>K30/(1+SUM('FNC-AGRI_prospetto riassuntivo'!$L$33:$L$34)/'FNC-AGRI_prospetto riassuntivo'!$L$28)^J30</f>
        <v>72.272422135630606</v>
      </c>
      <c r="Q30">
        <f>IF(J30=0,0,IF(OR(J30&lt;'FNC-AGRI_prospetto riassuntivo'!$L$27+'FNC-AGRI_prospetto riassuntivo'!$L$30,J30='FNC-AGRI_prospetto riassuntivo'!$L$27+'FNC-AGRI_prospetto riassuntivo'!$L$30),1,0))</f>
        <v>1</v>
      </c>
    </row>
    <row r="31" spans="1:17" x14ac:dyDescent="0.25">
      <c r="J31" s="10">
        <f>IF(J30=0,0,IF('FNC-AGRI_prospetto riassuntivo'!$L$27+'FNC-AGRI_prospetto riassuntivo'!$L$30&gt;J30,J30+1,0))</f>
        <v>41</v>
      </c>
      <c r="K31" s="11">
        <f>O30*'FNC-AGRI_prospetto riassuntivo'!$L$32*Q31</f>
        <v>80.826916376383281</v>
      </c>
      <c r="L31" s="11">
        <f t="shared" si="5"/>
        <v>567.19050661533129</v>
      </c>
      <c r="M31" s="11">
        <f t="shared" si="6"/>
        <v>648.01742299171462</v>
      </c>
      <c r="N31" s="12">
        <f t="shared" si="7"/>
        <v>16071.040680785372</v>
      </c>
      <c r="O31" s="11">
        <f>('FNC-AGRI_prospetto riassuntivo'!$L$19-N31)*Q31</f>
        <v>47928.959319214628</v>
      </c>
      <c r="P31" s="11">
        <f>K31/(1+SUM('FNC-AGRI_prospetto riassuntivo'!$L$33:$L$34)/'FNC-AGRI_prospetto riassuntivo'!$L$28)^J31</f>
        <v>71.218117442613533</v>
      </c>
      <c r="Q31">
        <f>IF(J31=0,0,IF(OR(J31&lt;'FNC-AGRI_prospetto riassuntivo'!$L$27+'FNC-AGRI_prospetto riassuntivo'!$L$30,J31='FNC-AGRI_prospetto riassuntivo'!$L$27+'FNC-AGRI_prospetto riassuntivo'!$L$30),1,0))</f>
        <v>1</v>
      </c>
    </row>
    <row r="32" spans="1:17" x14ac:dyDescent="0.25">
      <c r="J32" s="10">
        <f>IF(J31=0,0,IF('FNC-AGRI_prospetto riassuntivo'!$L$27+'FNC-AGRI_prospetto riassuntivo'!$L$30&gt;J31,J31+1,0))</f>
        <v>42</v>
      </c>
      <c r="K32" s="11">
        <f>O31*'FNC-AGRI_prospetto riassuntivo'!$L$32*Q32</f>
        <v>79.881598865357716</v>
      </c>
      <c r="L32" s="11">
        <f t="shared" si="5"/>
        <v>568.13582412635697</v>
      </c>
      <c r="M32" s="11">
        <f t="shared" si="6"/>
        <v>648.01742299171462</v>
      </c>
      <c r="N32" s="12">
        <f t="shared" si="7"/>
        <v>16639.176504911731</v>
      </c>
      <c r="O32" s="11">
        <f>('FNC-AGRI_prospetto riassuntivo'!$L$19-N32)*Q32</f>
        <v>47360.823495088269</v>
      </c>
      <c r="P32" s="11">
        <f>K32/(1+SUM('FNC-AGRI_prospetto riassuntivo'!$L$33:$L$34)/'FNC-AGRI_prospetto riassuntivo'!$L$28)^J32</f>
        <v>70.168243570018973</v>
      </c>
      <c r="Q32">
        <f>IF(J32=0,0,IF(OR(J32&lt;'FNC-AGRI_prospetto riassuntivo'!$L$27+'FNC-AGRI_prospetto riassuntivo'!$L$30,J32='FNC-AGRI_prospetto riassuntivo'!$L$27+'FNC-AGRI_prospetto riassuntivo'!$L$30),1,0))</f>
        <v>1</v>
      </c>
    </row>
    <row r="33" spans="10:17" x14ac:dyDescent="0.25">
      <c r="J33" s="10">
        <f>IF(J32=0,0,IF('FNC-AGRI_prospetto riassuntivo'!$L$27+'FNC-AGRI_prospetto riassuntivo'!$L$30&gt;J32,J32+1,0))</f>
        <v>43</v>
      </c>
      <c r="K33" s="11">
        <f>O32*'FNC-AGRI_prospetto riassuntivo'!$L$32*Q33</f>
        <v>78.93470582514712</v>
      </c>
      <c r="L33" s="11">
        <f t="shared" si="5"/>
        <v>569.08271716656748</v>
      </c>
      <c r="M33" s="11">
        <f t="shared" si="6"/>
        <v>648.01742299171462</v>
      </c>
      <c r="N33" s="12">
        <f t="shared" si="7"/>
        <v>17208.259222078297</v>
      </c>
      <c r="O33" s="11">
        <f>('FNC-AGRI_prospetto riassuntivo'!$L$19-N33)*Q33</f>
        <v>46791.740777921703</v>
      </c>
      <c r="P33" s="11">
        <f>K33/(1+SUM('FNC-AGRI_prospetto riassuntivo'!$L$33:$L$34)/'FNC-AGRI_prospetto riassuntivo'!$L$28)^J33</f>
        <v>69.122785183272441</v>
      </c>
      <c r="Q33">
        <f>IF(J33=0,0,IF(OR(J33&lt;'FNC-AGRI_prospetto riassuntivo'!$L$27+'FNC-AGRI_prospetto riassuntivo'!$L$30,J33='FNC-AGRI_prospetto riassuntivo'!$L$27+'FNC-AGRI_prospetto riassuntivo'!$L$30),1,0))</f>
        <v>1</v>
      </c>
    </row>
    <row r="34" spans="10:17" x14ac:dyDescent="0.25">
      <c r="J34" s="10">
        <f>IF(J33=0,0,IF('FNC-AGRI_prospetto riassuntivo'!$L$27+'FNC-AGRI_prospetto riassuntivo'!$L$30&gt;J33,J33+1,0))</f>
        <v>44</v>
      </c>
      <c r="K34" s="11">
        <f>O33*'FNC-AGRI_prospetto riassuntivo'!$L$32*Q34</f>
        <v>77.986234629869514</v>
      </c>
      <c r="L34" s="11">
        <f t="shared" si="5"/>
        <v>570.03118836184512</v>
      </c>
      <c r="M34" s="11">
        <f t="shared" si="6"/>
        <v>648.01742299171462</v>
      </c>
      <c r="N34" s="12">
        <f t="shared" si="7"/>
        <v>17778.290410440142</v>
      </c>
      <c r="O34" s="11">
        <f>('FNC-AGRI_prospetto riassuntivo'!$L$19-N34)*Q34</f>
        <v>46221.709589559861</v>
      </c>
      <c r="P34" s="11">
        <f>K34/(1+SUM('FNC-AGRI_prospetto riassuntivo'!$L$33:$L$34)/'FNC-AGRI_prospetto riassuntivo'!$L$28)^J34</f>
        <v>68.081726997446651</v>
      </c>
      <c r="Q34">
        <f>IF(J34=0,0,IF(OR(J34&lt;'FNC-AGRI_prospetto riassuntivo'!$L$27+'FNC-AGRI_prospetto riassuntivo'!$L$30,J34='FNC-AGRI_prospetto riassuntivo'!$L$27+'FNC-AGRI_prospetto riassuntivo'!$L$30),1,0))</f>
        <v>1</v>
      </c>
    </row>
    <row r="35" spans="10:17" x14ac:dyDescent="0.25">
      <c r="J35" s="10">
        <f>IF(J34=0,0,IF('FNC-AGRI_prospetto riassuntivo'!$L$27+'FNC-AGRI_prospetto riassuntivo'!$L$30&gt;J34,J34+1,0))</f>
        <v>45</v>
      </c>
      <c r="K35" s="11">
        <f>O34*'FNC-AGRI_prospetto riassuntivo'!$L$32*Q35</f>
        <v>77.036182649266436</v>
      </c>
      <c r="L35" s="11">
        <f t="shared" si="5"/>
        <v>570.98124034244825</v>
      </c>
      <c r="M35" s="11">
        <f t="shared" si="6"/>
        <v>648.01742299171462</v>
      </c>
      <c r="N35" s="12">
        <f t="shared" si="7"/>
        <v>18349.27165078259</v>
      </c>
      <c r="O35" s="11">
        <f>('FNC-AGRI_prospetto riassuntivo'!$L$19-N35)*Q35</f>
        <v>45650.72834921741</v>
      </c>
      <c r="P35" s="11">
        <f>K35/(1+SUM('FNC-AGRI_prospetto riassuntivo'!$L$33:$L$34)/'FNC-AGRI_prospetto riassuntivo'!$L$28)^J35</f>
        <v>67.045053777105267</v>
      </c>
      <c r="Q35">
        <f>IF(J35=0,0,IF(OR(J35&lt;'FNC-AGRI_prospetto riassuntivo'!$L$27+'FNC-AGRI_prospetto riassuntivo'!$L$30,J35='FNC-AGRI_prospetto riassuntivo'!$L$27+'FNC-AGRI_prospetto riassuntivo'!$L$30),1,0))</f>
        <v>1</v>
      </c>
    </row>
    <row r="36" spans="10:17" x14ac:dyDescent="0.25">
      <c r="J36" s="10">
        <f>IF(J35=0,0,IF('FNC-AGRI_prospetto riassuntivo'!$L$27+'FNC-AGRI_prospetto riassuntivo'!$L$30&gt;J35,J35+1,0))</f>
        <v>46</v>
      </c>
      <c r="K36" s="11">
        <f>O35*'FNC-AGRI_prospetto riassuntivo'!$L$32*Q36</f>
        <v>76.084547248695685</v>
      </c>
      <c r="L36" s="11">
        <f t="shared" si="5"/>
        <v>571.93287574301894</v>
      </c>
      <c r="M36" s="11">
        <f t="shared" si="6"/>
        <v>648.01742299171462</v>
      </c>
      <c r="N36" s="12">
        <f t="shared" si="7"/>
        <v>18921.204526525609</v>
      </c>
      <c r="O36" s="11">
        <f>('FNC-AGRI_prospetto riassuntivo'!$L$19-N36)*Q36</f>
        <v>45078.795473474391</v>
      </c>
      <c r="P36" s="11">
        <f>K36/(1+SUM('FNC-AGRI_prospetto riassuntivo'!$L$33:$L$34)/'FNC-AGRI_prospetto riassuntivo'!$L$28)^J36</f>
        <v>66.012750336146965</v>
      </c>
      <c r="Q36">
        <f>IF(J36=0,0,IF(OR(J36&lt;'FNC-AGRI_prospetto riassuntivo'!$L$27+'FNC-AGRI_prospetto riassuntivo'!$L$30,J36='FNC-AGRI_prospetto riassuntivo'!$L$27+'FNC-AGRI_prospetto riassuntivo'!$L$30),1,0))</f>
        <v>1</v>
      </c>
    </row>
    <row r="37" spans="10:17" x14ac:dyDescent="0.25">
      <c r="J37" s="10">
        <f>IF(J36=0,0,IF('FNC-AGRI_prospetto riassuntivo'!$L$27+'FNC-AGRI_prospetto riassuntivo'!$L$30&gt;J36,J36+1,0))</f>
        <v>47</v>
      </c>
      <c r="K37" s="11">
        <f>O36*'FNC-AGRI_prospetto riassuntivo'!$L$32*Q37</f>
        <v>75.131325789123991</v>
      </c>
      <c r="L37" s="11">
        <f t="shared" si="5"/>
        <v>572.88609720259069</v>
      </c>
      <c r="M37" s="11">
        <f t="shared" si="6"/>
        <v>648.01742299171462</v>
      </c>
      <c r="N37" s="12">
        <f t="shared" si="7"/>
        <v>19494.0906237282</v>
      </c>
      <c r="O37" s="11">
        <f>('FNC-AGRI_prospetto riassuntivo'!$L$19-N37)*Q37</f>
        <v>44505.909376271797</v>
      </c>
      <c r="P37" s="11">
        <f>K37/(1+SUM('FNC-AGRI_prospetto riassuntivo'!$L$33:$L$34)/'FNC-AGRI_prospetto riassuntivo'!$L$28)^J37</f>
        <v>64.984801537649886</v>
      </c>
      <c r="Q37">
        <f>IF(J37=0,0,IF(OR(J37&lt;'FNC-AGRI_prospetto riassuntivo'!$L$27+'FNC-AGRI_prospetto riassuntivo'!$L$30,J37='FNC-AGRI_prospetto riassuntivo'!$L$27+'FNC-AGRI_prospetto riassuntivo'!$L$30),1,0))</f>
        <v>1</v>
      </c>
    </row>
    <row r="38" spans="10:17" x14ac:dyDescent="0.25">
      <c r="J38" s="10">
        <f>IF(J37=0,0,IF('FNC-AGRI_prospetto riassuntivo'!$L$27+'FNC-AGRI_prospetto riassuntivo'!$L$30&gt;J37,J37+1,0))</f>
        <v>48</v>
      </c>
      <c r="K38" s="11">
        <f>O37*'FNC-AGRI_prospetto riassuntivo'!$L$32*Q38</f>
        <v>74.17651562711967</v>
      </c>
      <c r="L38" s="11">
        <f t="shared" si="5"/>
        <v>573.84090736459495</v>
      </c>
      <c r="M38" s="11">
        <f t="shared" si="6"/>
        <v>648.01742299171462</v>
      </c>
      <c r="N38" s="12">
        <f t="shared" si="7"/>
        <v>20067.931531092796</v>
      </c>
      <c r="O38" s="11">
        <f>('FNC-AGRI_prospetto riassuntivo'!$L$19-N38)*Q38</f>
        <v>43932.068468907208</v>
      </c>
      <c r="P38" s="11">
        <f>K38/(1+SUM('FNC-AGRI_prospetto riassuntivo'!$L$33:$L$34)/'FNC-AGRI_prospetto riassuntivo'!$L$28)^J38</f>
        <v>63.961192293716792</v>
      </c>
      <c r="Q38">
        <f>IF(J38=0,0,IF(OR(J38&lt;'FNC-AGRI_prospetto riassuntivo'!$L$27+'FNC-AGRI_prospetto riassuntivo'!$L$30,J38='FNC-AGRI_prospetto riassuntivo'!$L$27+'FNC-AGRI_prospetto riassuntivo'!$L$30),1,0))</f>
        <v>1</v>
      </c>
    </row>
    <row r="39" spans="10:17" x14ac:dyDescent="0.25">
      <c r="J39" s="10">
        <f>IF(J38=0,0,IF('FNC-AGRI_prospetto riassuntivo'!$L$27+'FNC-AGRI_prospetto riassuntivo'!$L$30&gt;J38,J38+1,0))</f>
        <v>49</v>
      </c>
      <c r="K39" s="11">
        <f>O38*'FNC-AGRI_prospetto riassuntivo'!$L$32*Q39</f>
        <v>73.220114114845344</v>
      </c>
      <c r="L39" s="11">
        <f t="shared" si="5"/>
        <v>574.79730887686924</v>
      </c>
      <c r="M39" s="11">
        <f t="shared" si="6"/>
        <v>648.01742299171462</v>
      </c>
      <c r="N39" s="12">
        <f t="shared" si="7"/>
        <v>20642.728839969666</v>
      </c>
      <c r="O39" s="11">
        <f>('FNC-AGRI_prospetto riassuntivo'!$L$19-N39)*Q39</f>
        <v>43357.27116003033</v>
      </c>
      <c r="P39" s="11">
        <f>K39/(1+SUM('FNC-AGRI_prospetto riassuntivo'!$L$33:$L$34)/'FNC-AGRI_prospetto riassuntivo'!$L$28)^J39</f>
        <v>62.941907565320577</v>
      </c>
      <c r="Q39">
        <f>IF(J39=0,0,IF(OR(J39&lt;'FNC-AGRI_prospetto riassuntivo'!$L$27+'FNC-AGRI_prospetto riassuntivo'!$L$30,J39='FNC-AGRI_prospetto riassuntivo'!$L$27+'FNC-AGRI_prospetto riassuntivo'!$L$30),1,0))</f>
        <v>1</v>
      </c>
    </row>
    <row r="40" spans="10:17" x14ac:dyDescent="0.25">
      <c r="J40" s="10">
        <f>IF(J39=0,0,IF('FNC-AGRI_prospetto riassuntivo'!$L$27+'FNC-AGRI_prospetto riassuntivo'!$L$30&gt;J39,J39+1,0))</f>
        <v>50</v>
      </c>
      <c r="K40" s="11">
        <f>O39*'FNC-AGRI_prospetto riassuntivo'!$L$32*Q40</f>
        <v>72.262118600050556</v>
      </c>
      <c r="L40" s="11">
        <f t="shared" si="5"/>
        <v>575.75530439166403</v>
      </c>
      <c r="M40" s="11">
        <f t="shared" si="6"/>
        <v>648.01742299171462</v>
      </c>
      <c r="N40" s="12">
        <f t="shared" si="7"/>
        <v>21218.48414436133</v>
      </c>
      <c r="O40" s="11">
        <f>('FNC-AGRI_prospetto riassuntivo'!$L$19-N40)*Q40</f>
        <v>42781.515855638674</v>
      </c>
      <c r="P40" s="11">
        <f>K40/(1+SUM('FNC-AGRI_prospetto riassuntivo'!$L$33:$L$34)/'FNC-AGRI_prospetto riassuntivo'!$L$28)^J40</f>
        <v>61.926932362150239</v>
      </c>
      <c r="Q40">
        <f>IF(J40=0,0,IF(OR(J40&lt;'FNC-AGRI_prospetto riassuntivo'!$L$27+'FNC-AGRI_prospetto riassuntivo'!$L$30,J40='FNC-AGRI_prospetto riassuntivo'!$L$27+'FNC-AGRI_prospetto riassuntivo'!$L$30),1,0))</f>
        <v>1</v>
      </c>
    </row>
    <row r="41" spans="10:17" x14ac:dyDescent="0.25">
      <c r="J41" s="10">
        <f>IF(J40=0,0,IF('FNC-AGRI_prospetto riassuntivo'!$L$27+'FNC-AGRI_prospetto riassuntivo'!$L$30&gt;J40,J40+1,0))</f>
        <v>51</v>
      </c>
      <c r="K41" s="11">
        <f>O40*'FNC-AGRI_prospetto riassuntivo'!$L$32*Q41</f>
        <v>71.30252642606446</v>
      </c>
      <c r="L41" s="11">
        <f t="shared" si="5"/>
        <v>576.71489656565018</v>
      </c>
      <c r="M41" s="11">
        <f t="shared" si="6"/>
        <v>648.01742299171462</v>
      </c>
      <c r="N41" s="12">
        <f t="shared" si="7"/>
        <v>21795.199040926978</v>
      </c>
      <c r="O41" s="11">
        <f>('FNC-AGRI_prospetto riassuntivo'!$L$19-N41)*Q41</f>
        <v>42204.800959073022</v>
      </c>
      <c r="P41" s="11">
        <f>K41/(1+SUM('FNC-AGRI_prospetto riassuntivo'!$L$33:$L$34)/'FNC-AGRI_prospetto riassuntivo'!$L$28)^J41</f>
        <v>60.916251742457462</v>
      </c>
      <c r="Q41">
        <f>IF(J41=0,0,IF(OR(J41&lt;'FNC-AGRI_prospetto riassuntivo'!$L$27+'FNC-AGRI_prospetto riassuntivo'!$L$30,J41='FNC-AGRI_prospetto riassuntivo'!$L$27+'FNC-AGRI_prospetto riassuntivo'!$L$30),1,0))</f>
        <v>1</v>
      </c>
    </row>
    <row r="42" spans="10:17" x14ac:dyDescent="0.25">
      <c r="J42" s="10">
        <f>IF(J41=0,0,IF('FNC-AGRI_prospetto riassuntivo'!$L$27+'FNC-AGRI_prospetto riassuntivo'!$L$30&gt;J41,J41+1,0))</f>
        <v>52</v>
      </c>
      <c r="K42" s="11">
        <f>O41*'FNC-AGRI_prospetto riassuntivo'!$L$32*Q42</f>
        <v>70.341334931788367</v>
      </c>
      <c r="L42" s="11">
        <f t="shared" si="5"/>
        <v>577.67608805992631</v>
      </c>
      <c r="M42" s="11">
        <f t="shared" si="6"/>
        <v>648.01742299171462</v>
      </c>
      <c r="N42" s="12">
        <f t="shared" si="7"/>
        <v>22372.875128986903</v>
      </c>
      <c r="O42" s="11">
        <f>('FNC-AGRI_prospetto riassuntivo'!$L$19-N42)*Q42</f>
        <v>41627.124871013097</v>
      </c>
      <c r="P42" s="11">
        <f>K42/(1+SUM('FNC-AGRI_prospetto riassuntivo'!$L$33:$L$34)/'FNC-AGRI_prospetto riassuntivo'!$L$28)^J42</f>
        <v>59.90985081290345</v>
      </c>
      <c r="Q42">
        <f>IF(J42=0,0,IF(OR(J42&lt;'FNC-AGRI_prospetto riassuntivo'!$L$27+'FNC-AGRI_prospetto riassuntivo'!$L$30,J42='FNC-AGRI_prospetto riassuntivo'!$L$27+'FNC-AGRI_prospetto riassuntivo'!$L$30),1,0))</f>
        <v>1</v>
      </c>
    </row>
    <row r="43" spans="10:17" x14ac:dyDescent="0.25">
      <c r="J43" s="10">
        <f>IF(J42=0,0,IF('FNC-AGRI_prospetto riassuntivo'!$L$27+'FNC-AGRI_prospetto riassuntivo'!$L$30&gt;J42,J42+1,0))</f>
        <v>53</v>
      </c>
      <c r="K43" s="11">
        <f>O42*'FNC-AGRI_prospetto riassuntivo'!$L$32*Q43</f>
        <v>69.378541451688506</v>
      </c>
      <c r="L43" s="11">
        <f t="shared" si="5"/>
        <v>578.63888154002609</v>
      </c>
      <c r="M43" s="11">
        <f t="shared" si="6"/>
        <v>648.01742299171462</v>
      </c>
      <c r="N43" s="12">
        <f t="shared" si="7"/>
        <v>22951.514010526931</v>
      </c>
      <c r="O43" s="11">
        <f>('FNC-AGRI_prospetto riassuntivo'!$L$19-N43)*Q43</f>
        <v>41048.485989473069</v>
      </c>
      <c r="P43" s="11">
        <f>K43/(1+SUM('FNC-AGRI_prospetto riassuntivo'!$L$33:$L$34)/'FNC-AGRI_prospetto riassuntivo'!$L$28)^J43</f>
        <v>58.907714728406518</v>
      </c>
      <c r="Q43">
        <f>IF(J43=0,0,IF(OR(J43&lt;'FNC-AGRI_prospetto riassuntivo'!$L$27+'FNC-AGRI_prospetto riassuntivo'!$L$30,J43='FNC-AGRI_prospetto riassuntivo'!$L$27+'FNC-AGRI_prospetto riassuntivo'!$L$30),1,0))</f>
        <v>1</v>
      </c>
    </row>
    <row r="44" spans="10:17" x14ac:dyDescent="0.25">
      <c r="J44" s="10">
        <f>IF(J43=0,0,IF('FNC-AGRI_prospetto riassuntivo'!$L$27+'FNC-AGRI_prospetto riassuntivo'!$L$30&gt;J43,J43+1,0))</f>
        <v>54</v>
      </c>
      <c r="K44" s="11">
        <f>O43*'FNC-AGRI_prospetto riassuntivo'!$L$32*Q44</f>
        <v>68.414143315788451</v>
      </c>
      <c r="L44" s="11">
        <f t="shared" si="5"/>
        <v>579.60327967592616</v>
      </c>
      <c r="M44" s="11">
        <f t="shared" si="6"/>
        <v>648.01742299171462</v>
      </c>
      <c r="N44" s="12">
        <f t="shared" si="7"/>
        <v>23531.117290202856</v>
      </c>
      <c r="O44" s="11">
        <f>('FNC-AGRI_prospetto riassuntivo'!$L$19-N44)*Q44</f>
        <v>40468.882709797144</v>
      </c>
      <c r="P44" s="11">
        <f>K44/(1+SUM('FNC-AGRI_prospetto riassuntivo'!$L$33:$L$34)/'FNC-AGRI_prospetto riassuntivo'!$L$28)^J44</f>
        <v>57.909828691989887</v>
      </c>
      <c r="Q44">
        <f>IF(J44=0,0,IF(OR(J44&lt;'FNC-AGRI_prospetto riassuntivo'!$L$27+'FNC-AGRI_prospetto riassuntivo'!$L$30,J44='FNC-AGRI_prospetto riassuntivo'!$L$27+'FNC-AGRI_prospetto riassuntivo'!$L$30),1,0))</f>
        <v>1</v>
      </c>
    </row>
    <row r="45" spans="10:17" x14ac:dyDescent="0.25">
      <c r="J45" s="10">
        <f>IF(J44=0,0,IF('FNC-AGRI_prospetto riassuntivo'!$L$27+'FNC-AGRI_prospetto riassuntivo'!$L$30&gt;J44,J44+1,0))</f>
        <v>55</v>
      </c>
      <c r="K45" s="11">
        <f>O44*'FNC-AGRI_prospetto riassuntivo'!$L$32*Q45</f>
        <v>67.448137849661919</v>
      </c>
      <c r="L45" s="11">
        <f t="shared" si="5"/>
        <v>580.56928514205265</v>
      </c>
      <c r="M45" s="11">
        <f t="shared" si="6"/>
        <v>648.01742299171462</v>
      </c>
      <c r="N45" s="12">
        <f t="shared" si="7"/>
        <v>24111.686575344909</v>
      </c>
      <c r="O45" s="11">
        <f>('FNC-AGRI_prospetto riassuntivo'!$L$19-N45)*Q45</f>
        <v>39888.313424655091</v>
      </c>
      <c r="P45" s="11">
        <f>K45/(1+SUM('FNC-AGRI_prospetto riassuntivo'!$L$33:$L$34)/'FNC-AGRI_prospetto riassuntivo'!$L$28)^J45</f>
        <v>56.916177954630157</v>
      </c>
      <c r="Q45">
        <f>IF(J45=0,0,IF(OR(J45&lt;'FNC-AGRI_prospetto riassuntivo'!$L$27+'FNC-AGRI_prospetto riassuntivo'!$L$30,J45='FNC-AGRI_prospetto riassuntivo'!$L$27+'FNC-AGRI_prospetto riassuntivo'!$L$30),1,0))</f>
        <v>1</v>
      </c>
    </row>
    <row r="46" spans="10:17" x14ac:dyDescent="0.25">
      <c r="J46" s="10">
        <f>IF(J45=0,0,IF('FNC-AGRI_prospetto riassuntivo'!$L$27+'FNC-AGRI_prospetto riassuntivo'!$L$30&gt;J45,J45+1,0))</f>
        <v>56</v>
      </c>
      <c r="K46" s="11">
        <f>O45*'FNC-AGRI_prospetto riassuntivo'!$L$32*Q46</f>
        <v>66.480522374425149</v>
      </c>
      <c r="L46" s="11">
        <f t="shared" si="5"/>
        <v>581.53690061728946</v>
      </c>
      <c r="M46" s="11">
        <f t="shared" si="6"/>
        <v>648.01742299171462</v>
      </c>
      <c r="N46" s="12">
        <f t="shared" si="7"/>
        <v>24693.223475962197</v>
      </c>
      <c r="O46" s="11">
        <f>('FNC-AGRI_prospetto riassuntivo'!$L$19-N46)*Q46</f>
        <v>39306.776524037807</v>
      </c>
      <c r="P46" s="11">
        <f>K46/(1+SUM('FNC-AGRI_prospetto riassuntivo'!$L$33:$L$34)/'FNC-AGRI_prospetto riassuntivo'!$L$28)^J46</f>
        <v>55.926747815106182</v>
      </c>
      <c r="Q46">
        <f>IF(J46=0,0,IF(OR(J46&lt;'FNC-AGRI_prospetto riassuntivo'!$L$27+'FNC-AGRI_prospetto riassuntivo'!$L$30,J46='FNC-AGRI_prospetto riassuntivo'!$L$27+'FNC-AGRI_prospetto riassuntivo'!$L$30),1,0))</f>
        <v>1</v>
      </c>
    </row>
    <row r="47" spans="10:17" x14ac:dyDescent="0.25">
      <c r="J47" s="10">
        <f>IF(J46=0,0,IF('FNC-AGRI_prospetto riassuntivo'!$L$27+'FNC-AGRI_prospetto riassuntivo'!$L$30&gt;J46,J46+1,0))</f>
        <v>57</v>
      </c>
      <c r="K47" s="11">
        <f>O46*'FNC-AGRI_prospetto riassuntivo'!$L$32*Q47</f>
        <v>65.511294206729687</v>
      </c>
      <c r="L47" s="11">
        <f t="shared" si="5"/>
        <v>582.50612878498498</v>
      </c>
      <c r="M47" s="11">
        <f t="shared" si="6"/>
        <v>648.01742299171462</v>
      </c>
      <c r="N47" s="12">
        <f t="shared" si="7"/>
        <v>25275.729604747183</v>
      </c>
      <c r="O47" s="11">
        <f>('FNC-AGRI_prospetto riassuntivo'!$L$19-N47)*Q47</f>
        <v>38724.270395252817</v>
      </c>
      <c r="P47" s="11">
        <f>K47/(1+SUM('FNC-AGRI_prospetto riassuntivo'!$L$33:$L$34)/'FNC-AGRI_prospetto riassuntivo'!$L$28)^J47</f>
        <v>54.941523619848383</v>
      </c>
      <c r="Q47">
        <f>IF(J47=0,0,IF(OR(J47&lt;'FNC-AGRI_prospetto riassuntivo'!$L$27+'FNC-AGRI_prospetto riassuntivo'!$L$30,J47='FNC-AGRI_prospetto riassuntivo'!$L$27+'FNC-AGRI_prospetto riassuntivo'!$L$30),1,0))</f>
        <v>1</v>
      </c>
    </row>
    <row r="48" spans="10:17" x14ac:dyDescent="0.25">
      <c r="J48" s="10">
        <f>IF(J47=0,0,IF('FNC-AGRI_prospetto riassuntivo'!$L$27+'FNC-AGRI_prospetto riassuntivo'!$L$30&gt;J47,J47+1,0))</f>
        <v>58</v>
      </c>
      <c r="K48" s="11">
        <f>O47*'FNC-AGRI_prospetto riassuntivo'!$L$32*Q48</f>
        <v>64.540450658754693</v>
      </c>
      <c r="L48" s="11">
        <f t="shared" si="5"/>
        <v>583.47697233295992</v>
      </c>
      <c r="M48" s="11">
        <f t="shared" si="6"/>
        <v>648.01742299171462</v>
      </c>
      <c r="N48" s="12">
        <f t="shared" si="7"/>
        <v>25859.206577080142</v>
      </c>
      <c r="O48" s="11">
        <f>('FNC-AGRI_prospetto riassuntivo'!$L$19-N48)*Q48</f>
        <v>38140.793422919858</v>
      </c>
      <c r="P48" s="11">
        <f>K48/(1+SUM('FNC-AGRI_prospetto riassuntivo'!$L$33:$L$34)/'FNC-AGRI_prospetto riassuntivo'!$L$28)^J48</f>
        <v>53.960490762788453</v>
      </c>
      <c r="Q48">
        <f>IF(J48=0,0,IF(OR(J48&lt;'FNC-AGRI_prospetto riassuntivo'!$L$27+'FNC-AGRI_prospetto riassuntivo'!$L$30,J48='FNC-AGRI_prospetto riassuntivo'!$L$27+'FNC-AGRI_prospetto riassuntivo'!$L$30),1,0))</f>
        <v>1</v>
      </c>
    </row>
    <row r="49" spans="10:17" x14ac:dyDescent="0.25">
      <c r="J49" s="10">
        <f>IF(J48=0,0,IF('FNC-AGRI_prospetto riassuntivo'!$L$27+'FNC-AGRI_prospetto riassuntivo'!$L$30&gt;J48,J48+1,0))</f>
        <v>59</v>
      </c>
      <c r="K49" s="11">
        <f>O48*'FNC-AGRI_prospetto riassuntivo'!$L$32*Q49</f>
        <v>63.567989038199769</v>
      </c>
      <c r="L49" s="11">
        <f t="shared" si="5"/>
        <v>584.44943395351481</v>
      </c>
      <c r="M49" s="11">
        <f t="shared" si="6"/>
        <v>648.01742299171462</v>
      </c>
      <c r="N49" s="12">
        <f t="shared" si="7"/>
        <v>26443.656011033658</v>
      </c>
      <c r="O49" s="11">
        <f>('FNC-AGRI_prospetto riassuntivo'!$L$19-N49)*Q49</f>
        <v>37556.343988966342</v>
      </c>
      <c r="P49" s="11">
        <f>K49/(1+SUM('FNC-AGRI_prospetto riassuntivo'!$L$33:$L$34)/'FNC-AGRI_prospetto riassuntivo'!$L$28)^J49</f>
        <v>52.983634685209871</v>
      </c>
      <c r="Q49">
        <f>IF(J49=0,0,IF(OR(J49&lt;'FNC-AGRI_prospetto riassuntivo'!$L$27+'FNC-AGRI_prospetto riassuntivo'!$L$30,J49='FNC-AGRI_prospetto riassuntivo'!$L$27+'FNC-AGRI_prospetto riassuntivo'!$L$30),1,0))</f>
        <v>1</v>
      </c>
    </row>
    <row r="50" spans="10:17" x14ac:dyDescent="0.25">
      <c r="J50" s="10">
        <f>IF(J49=0,0,IF('FNC-AGRI_prospetto riassuntivo'!$L$27+'FNC-AGRI_prospetto riassuntivo'!$L$30&gt;J49,J49+1,0))</f>
        <v>60</v>
      </c>
      <c r="K50" s="11">
        <f>O49*'FNC-AGRI_prospetto riassuntivo'!$L$32*Q50</f>
        <v>62.59390664827724</v>
      </c>
      <c r="L50" s="11">
        <f t="shared" si="5"/>
        <v>585.42351634343743</v>
      </c>
      <c r="M50" s="11">
        <f t="shared" si="6"/>
        <v>648.01742299171462</v>
      </c>
      <c r="N50" s="12">
        <f t="shared" si="7"/>
        <v>27029.079527377096</v>
      </c>
      <c r="O50" s="11">
        <f>('FNC-AGRI_prospetto riassuntivo'!$L$19-N50)*Q50</f>
        <v>36970.920472622907</v>
      </c>
      <c r="P50" s="11">
        <f>K50/(1+SUM('FNC-AGRI_prospetto riassuntivo'!$L$33:$L$34)/'FNC-AGRI_prospetto riassuntivo'!$L$28)^J50</f>
        <v>52.010940875598401</v>
      </c>
      <c r="Q50">
        <f>IF(J50=0,0,IF(OR(J50&lt;'FNC-AGRI_prospetto riassuntivo'!$L$27+'FNC-AGRI_prospetto riassuntivo'!$L$30,J50='FNC-AGRI_prospetto riassuntivo'!$L$27+'FNC-AGRI_prospetto riassuntivo'!$L$30),1,0))</f>
        <v>1</v>
      </c>
    </row>
    <row r="51" spans="10:17" x14ac:dyDescent="0.25">
      <c r="J51" s="10">
        <f>IF(J50=0,0,IF('FNC-AGRI_prospetto riassuntivo'!$L$27+'FNC-AGRI_prospetto riassuntivo'!$L$30&gt;J50,J50+1,0))</f>
        <v>61</v>
      </c>
      <c r="K51" s="11">
        <f>O50*'FNC-AGRI_prospetto riassuntivo'!$L$32*Q51</f>
        <v>61.618200787704851</v>
      </c>
      <c r="L51" s="11">
        <f t="shared" si="5"/>
        <v>586.39922220400979</v>
      </c>
      <c r="M51" s="11">
        <f t="shared" si="6"/>
        <v>648.01742299171462</v>
      </c>
      <c r="N51" s="12">
        <f t="shared" si="7"/>
        <v>27615.478749581107</v>
      </c>
      <c r="O51" s="11">
        <f>('FNC-AGRI_prospetto riassuntivo'!$L$19-N51)*Q51</f>
        <v>36384.521250418897</v>
      </c>
      <c r="P51" s="11">
        <f>K51/(1+SUM('FNC-AGRI_prospetto riassuntivo'!$L$33:$L$34)/'FNC-AGRI_prospetto riassuntivo'!$L$28)^J51</f>
        <v>51.042394869493428</v>
      </c>
      <c r="Q51">
        <f>IF(J51=0,0,IF(OR(J51&lt;'FNC-AGRI_prospetto riassuntivo'!$L$27+'FNC-AGRI_prospetto riassuntivo'!$L$30,J51='FNC-AGRI_prospetto riassuntivo'!$L$27+'FNC-AGRI_prospetto riassuntivo'!$L$30),1,0))</f>
        <v>1</v>
      </c>
    </row>
    <row r="52" spans="10:17" x14ac:dyDescent="0.25">
      <c r="J52" s="10">
        <f>IF(J51=0,0,IF('FNC-AGRI_prospetto riassuntivo'!$L$27+'FNC-AGRI_prospetto riassuntivo'!$L$30&gt;J51,J51+1,0))</f>
        <v>62</v>
      </c>
      <c r="K52" s="11">
        <f>O51*'FNC-AGRI_prospetto riassuntivo'!$L$32*Q52</f>
        <v>60.640868750698168</v>
      </c>
      <c r="L52" s="11">
        <f t="shared" si="5"/>
        <v>587.37655424101649</v>
      </c>
      <c r="M52" s="11">
        <f t="shared" si="6"/>
        <v>648.01742299171462</v>
      </c>
      <c r="N52" s="12">
        <f t="shared" si="7"/>
        <v>28202.855303822122</v>
      </c>
      <c r="O52" s="11">
        <f>('FNC-AGRI_prospetto riassuntivo'!$L$19-N52)*Q52</f>
        <v>35797.144696177878</v>
      </c>
      <c r="P52" s="11">
        <f>K52/(1+SUM('FNC-AGRI_prospetto riassuntivo'!$L$33:$L$34)/'FNC-AGRI_prospetto riassuntivo'!$L$28)^J52</f>
        <v>50.077982249339627</v>
      </c>
      <c r="Q52">
        <f>IF(J52=0,0,IF(OR(J52&lt;'FNC-AGRI_prospetto riassuntivo'!$L$27+'FNC-AGRI_prospetto riassuntivo'!$L$30,J52='FNC-AGRI_prospetto riassuntivo'!$L$27+'FNC-AGRI_prospetto riassuntivo'!$L$30),1,0))</f>
        <v>1</v>
      </c>
    </row>
    <row r="53" spans="10:17" x14ac:dyDescent="0.25">
      <c r="J53" s="10">
        <f>IF(J52=0,0,IF('FNC-AGRI_prospetto riassuntivo'!$L$27+'FNC-AGRI_prospetto riassuntivo'!$L$30&gt;J52,J52+1,0))</f>
        <v>63</v>
      </c>
      <c r="K53" s="11">
        <f>O52*'FNC-AGRI_prospetto riassuntivo'!$L$32*Q53</f>
        <v>59.661907826963137</v>
      </c>
      <c r="L53" s="11">
        <f t="shared" si="5"/>
        <v>588.35551516475152</v>
      </c>
      <c r="M53" s="11">
        <f t="shared" si="6"/>
        <v>648.01742299171462</v>
      </c>
      <c r="N53" s="12">
        <f t="shared" si="7"/>
        <v>28791.210818986874</v>
      </c>
      <c r="O53" s="11">
        <f>('FNC-AGRI_prospetto riassuntivo'!$L$19-N53)*Q53</f>
        <v>35208.789181013126</v>
      </c>
      <c r="P53" s="11">
        <f>K53/(1+SUM('FNC-AGRI_prospetto riassuntivo'!$L$33:$L$34)/'FNC-AGRI_prospetto riassuntivo'!$L$28)^J53</f>
        <v>49.117688644338976</v>
      </c>
      <c r="Q53">
        <f>IF(J53=0,0,IF(OR(J53&lt;'FNC-AGRI_prospetto riassuntivo'!$L$27+'FNC-AGRI_prospetto riassuntivo'!$L$30,J53='FNC-AGRI_prospetto riassuntivo'!$L$27+'FNC-AGRI_prospetto riassuntivo'!$L$30),1,0))</f>
        <v>1</v>
      </c>
    </row>
    <row r="54" spans="10:17" x14ac:dyDescent="0.25">
      <c r="J54" s="10">
        <f>IF(J53=0,0,IF('FNC-AGRI_prospetto riassuntivo'!$L$27+'FNC-AGRI_prospetto riassuntivo'!$L$30&gt;J53,J53+1,0))</f>
        <v>64</v>
      </c>
      <c r="K54" s="11">
        <f>O53*'FNC-AGRI_prospetto riassuntivo'!$L$32*Q54</f>
        <v>58.681315301688549</v>
      </c>
      <c r="L54" s="11">
        <f t="shared" si="5"/>
        <v>589.3361076900261</v>
      </c>
      <c r="M54" s="11">
        <f t="shared" si="6"/>
        <v>648.01742299171462</v>
      </c>
      <c r="N54" s="12">
        <f t="shared" si="7"/>
        <v>29380.5469266769</v>
      </c>
      <c r="O54" s="11">
        <f>('FNC-AGRI_prospetto riassuntivo'!$L$19-N54)*Q54</f>
        <v>34619.4530733231</v>
      </c>
      <c r="P54" s="11">
        <f>K54/(1+SUM('FNC-AGRI_prospetto riassuntivo'!$L$33:$L$34)/'FNC-AGRI_prospetto riassuntivo'!$L$28)^J54</f>
        <v>48.161499730303518</v>
      </c>
      <c r="Q54">
        <f>IF(J54=0,0,IF(OR(J54&lt;'FNC-AGRI_prospetto riassuntivo'!$L$27+'FNC-AGRI_prospetto riassuntivo'!$L$30,J54='FNC-AGRI_prospetto riassuntivo'!$L$27+'FNC-AGRI_prospetto riassuntivo'!$L$30),1,0))</f>
        <v>1</v>
      </c>
    </row>
    <row r="55" spans="10:17" x14ac:dyDescent="0.25">
      <c r="J55" s="10">
        <f>IF(J54=0,0,IF('FNC-AGRI_prospetto riassuntivo'!$L$27+'FNC-AGRI_prospetto riassuntivo'!$L$30&gt;J54,J54+1,0))</f>
        <v>65</v>
      </c>
      <c r="K55" s="11">
        <f>O54*'FNC-AGRI_prospetto riassuntivo'!$L$32*Q55</f>
        <v>57.699088455538501</v>
      </c>
      <c r="L55" s="11">
        <f t="shared" si="5"/>
        <v>590.31833453617617</v>
      </c>
      <c r="M55" s="11">
        <f t="shared" si="6"/>
        <v>648.01742299171462</v>
      </c>
      <c r="N55" s="12">
        <f t="shared" si="7"/>
        <v>29970.865261213075</v>
      </c>
      <c r="O55" s="11">
        <f>('FNC-AGRI_prospetto riassuntivo'!$L$19-N55)*Q55</f>
        <v>34029.134738786925</v>
      </c>
      <c r="P55" s="11">
        <f>K55/(1+SUM('FNC-AGRI_prospetto riassuntivo'!$L$33:$L$34)/'FNC-AGRI_prospetto riassuntivo'!$L$28)^J55</f>
        <v>47.209401229508295</v>
      </c>
      <c r="Q55">
        <f>IF(J55=0,0,IF(OR(J55&lt;'FNC-AGRI_prospetto riassuntivo'!$L$27+'FNC-AGRI_prospetto riassuntivo'!$L$30,J55='FNC-AGRI_prospetto riassuntivo'!$L$27+'FNC-AGRI_prospetto riassuntivo'!$L$30),1,0))</f>
        <v>1</v>
      </c>
    </row>
    <row r="56" spans="10:17" x14ac:dyDescent="0.25">
      <c r="J56" s="10">
        <f>IF(J55=0,0,IF('FNC-AGRI_prospetto riassuntivo'!$L$27+'FNC-AGRI_prospetto riassuntivo'!$L$30&gt;J55,J55+1,0))</f>
        <v>66</v>
      </c>
      <c r="K56" s="11">
        <f>O55*'FNC-AGRI_prospetto riassuntivo'!$L$32*Q56</f>
        <v>56.715224564644878</v>
      </c>
      <c r="L56" s="11">
        <f t="shared" si="5"/>
        <v>591.3021984270697</v>
      </c>
      <c r="M56" s="11">
        <f t="shared" si="6"/>
        <v>648.01742299171462</v>
      </c>
      <c r="N56" s="12">
        <f t="shared" si="7"/>
        <v>30562.167459640146</v>
      </c>
      <c r="O56" s="11">
        <f>('FNC-AGRI_prospetto riassuntivo'!$L$19-N56)*Q56</f>
        <v>33437.832540359857</v>
      </c>
      <c r="P56" s="11">
        <f>K56/(1+SUM('FNC-AGRI_prospetto riassuntivo'!$L$33:$L$34)/'FNC-AGRI_prospetto riassuntivo'!$L$28)^J56</f>
        <v>46.261378910544877</v>
      </c>
      <c r="Q56">
        <f>IF(J56=0,0,IF(OR(J56&lt;'FNC-AGRI_prospetto riassuntivo'!$L$27+'FNC-AGRI_prospetto riassuntivo'!$L$30,J56='FNC-AGRI_prospetto riassuntivo'!$L$27+'FNC-AGRI_prospetto riassuntivo'!$L$30),1,0))</f>
        <v>1</v>
      </c>
    </row>
    <row r="57" spans="10:17" x14ac:dyDescent="0.25">
      <c r="J57" s="10">
        <f>IF(J56=0,0,IF('FNC-AGRI_prospetto riassuntivo'!$L$27+'FNC-AGRI_prospetto riassuntivo'!$L$30&gt;J56,J56+1,0))</f>
        <v>67</v>
      </c>
      <c r="K57" s="11">
        <f>O56*'FNC-AGRI_prospetto riassuntivo'!$L$32*Q57</f>
        <v>55.729720900599766</v>
      </c>
      <c r="L57" s="11">
        <f t="shared" si="5"/>
        <v>592.28770209111485</v>
      </c>
      <c r="M57" s="11">
        <f t="shared" si="6"/>
        <v>648.01742299171462</v>
      </c>
      <c r="N57" s="12">
        <f t="shared" si="7"/>
        <v>31154.455161731261</v>
      </c>
      <c r="O57" s="11">
        <f>('FNC-AGRI_prospetto riassuntivo'!$L$19-N57)*Q57</f>
        <v>32845.544838268739</v>
      </c>
      <c r="P57" s="11">
        <f>K57/(1+SUM('FNC-AGRI_prospetto riassuntivo'!$L$33:$L$34)/'FNC-AGRI_prospetto riassuntivo'!$L$28)^J57</f>
        <v>45.317418588175357</v>
      </c>
      <c r="Q57">
        <f>IF(J57=0,0,IF(OR(J57&lt;'FNC-AGRI_prospetto riassuntivo'!$L$27+'FNC-AGRI_prospetto riassuntivo'!$L$30,J57='FNC-AGRI_prospetto riassuntivo'!$L$27+'FNC-AGRI_prospetto riassuntivo'!$L$30),1,0))</f>
        <v>1</v>
      </c>
    </row>
    <row r="58" spans="10:17" x14ac:dyDescent="0.25">
      <c r="J58" s="10">
        <f>IF(J57=0,0,IF('FNC-AGRI_prospetto riassuntivo'!$L$27+'FNC-AGRI_prospetto riassuntivo'!$L$30&gt;J57,J57+1,0))</f>
        <v>68</v>
      </c>
      <c r="K58" s="11">
        <f>O57*'FNC-AGRI_prospetto riassuntivo'!$L$32*Q58</f>
        <v>54.742574730447899</v>
      </c>
      <c r="L58" s="11">
        <f t="shared" si="5"/>
        <v>593.2748482612667</v>
      </c>
      <c r="M58" s="11">
        <f t="shared" si="6"/>
        <v>648.01742299171462</v>
      </c>
      <c r="N58" s="12">
        <f t="shared" si="7"/>
        <v>31747.730009992527</v>
      </c>
      <c r="O58" s="11">
        <f>('FNC-AGRI_prospetto riassuntivo'!$L$19-N58)*Q58</f>
        <v>32252.269990007473</v>
      </c>
      <c r="P58" s="11">
        <f>K58/(1+SUM('FNC-AGRI_prospetto riassuntivo'!$L$33:$L$34)/'FNC-AGRI_prospetto riassuntivo'!$L$28)^J58</f>
        <v>44.377506123186706</v>
      </c>
      <c r="Q58">
        <f>IF(J58=0,0,IF(OR(J58&lt;'FNC-AGRI_prospetto riassuntivo'!$L$27+'FNC-AGRI_prospetto riassuntivo'!$L$30,J58='FNC-AGRI_prospetto riassuntivo'!$L$27+'FNC-AGRI_prospetto riassuntivo'!$L$30),1,0))</f>
        <v>1</v>
      </c>
    </row>
    <row r="59" spans="10:17" x14ac:dyDescent="0.25">
      <c r="J59" s="10">
        <f>IF(J58=0,0,IF('FNC-AGRI_prospetto riassuntivo'!$L$27+'FNC-AGRI_prospetto riassuntivo'!$L$30&gt;J58,J58+1,0))</f>
        <v>69</v>
      </c>
      <c r="K59" s="11">
        <f>O58*'FNC-AGRI_prospetto riassuntivo'!$L$32*Q59</f>
        <v>53.753783316679126</v>
      </c>
      <c r="L59" s="11">
        <f t="shared" si="5"/>
        <v>594.26363967503551</v>
      </c>
      <c r="M59" s="11">
        <f t="shared" si="6"/>
        <v>648.01742299171462</v>
      </c>
      <c r="N59" s="12">
        <f t="shared" si="7"/>
        <v>32341.993649667562</v>
      </c>
      <c r="O59" s="11">
        <f>('FNC-AGRI_prospetto riassuntivo'!$L$19-N59)*Q59</f>
        <v>31658.006350332438</v>
      </c>
      <c r="P59" s="11">
        <f>K59/(1+SUM('FNC-AGRI_prospetto riassuntivo'!$L$33:$L$34)/'FNC-AGRI_prospetto riassuntivo'!$L$28)^J59</f>
        <v>43.441627422245716</v>
      </c>
      <c r="Q59">
        <f>IF(J59=0,0,IF(OR(J59&lt;'FNC-AGRI_prospetto riassuntivo'!$L$27+'FNC-AGRI_prospetto riassuntivo'!$L$30,J59='FNC-AGRI_prospetto riassuntivo'!$L$27+'FNC-AGRI_prospetto riassuntivo'!$L$30),1,0))</f>
        <v>1</v>
      </c>
    </row>
    <row r="60" spans="10:17" x14ac:dyDescent="0.25">
      <c r="J60" s="10">
        <f>IF(J59=0,0,IF('FNC-AGRI_prospetto riassuntivo'!$L$27+'FNC-AGRI_prospetto riassuntivo'!$L$30&gt;J59,J59+1,0))</f>
        <v>70</v>
      </c>
      <c r="K60" s="11">
        <f>O59*'FNC-AGRI_prospetto riassuntivo'!$L$32*Q60</f>
        <v>52.76334391722073</v>
      </c>
      <c r="L60" s="11">
        <f t="shared" si="5"/>
        <v>595.25407907449392</v>
      </c>
      <c r="M60" s="11">
        <f t="shared" si="6"/>
        <v>648.01742299171462</v>
      </c>
      <c r="N60" s="12">
        <f t="shared" si="7"/>
        <v>32937.247728742055</v>
      </c>
      <c r="O60" s="11">
        <f>('FNC-AGRI_prospetto riassuntivo'!$L$19-N60)*Q60</f>
        <v>31062.752271257945</v>
      </c>
      <c r="P60" s="11">
        <f>K60/(1+SUM('FNC-AGRI_prospetto riassuntivo'!$L$33:$L$34)/'FNC-AGRI_prospetto riassuntivo'!$L$28)^J60</f>
        <v>42.509768437754296</v>
      </c>
      <c r="Q60">
        <f>IF(J60=0,0,IF(OR(J60&lt;'FNC-AGRI_prospetto riassuntivo'!$L$27+'FNC-AGRI_prospetto riassuntivo'!$L$30,J60='FNC-AGRI_prospetto riassuntivo'!$L$27+'FNC-AGRI_prospetto riassuntivo'!$L$30),1,0))</f>
        <v>1</v>
      </c>
    </row>
    <row r="61" spans="10:17" x14ac:dyDescent="0.25">
      <c r="J61" s="10">
        <f>IF(J60=0,0,IF('FNC-AGRI_prospetto riassuntivo'!$L$27+'FNC-AGRI_prospetto riassuntivo'!$L$30&gt;J60,J60+1,0))</f>
        <v>71</v>
      </c>
      <c r="K61" s="11">
        <f>O60*'FNC-AGRI_prospetto riassuntivo'!$L$32*Q61</f>
        <v>51.771253785429913</v>
      </c>
      <c r="L61" s="11">
        <f t="shared" si="5"/>
        <v>596.24616920628466</v>
      </c>
      <c r="M61" s="11">
        <f t="shared" si="6"/>
        <v>648.01742299171462</v>
      </c>
      <c r="N61" s="12">
        <f t="shared" si="7"/>
        <v>33533.493897948341</v>
      </c>
      <c r="O61" s="11">
        <f>('FNC-AGRI_prospetto riassuntivo'!$L$19-N61)*Q61</f>
        <v>30466.506102051659</v>
      </c>
      <c r="P61" s="11">
        <f>K61/(1+SUM('FNC-AGRI_prospetto riassuntivo'!$L$33:$L$34)/'FNC-AGRI_prospetto riassuntivo'!$L$28)^J61</f>
        <v>41.581915167705226</v>
      </c>
      <c r="Q61">
        <f>IF(J61=0,0,IF(OR(J61&lt;'FNC-AGRI_prospetto riassuntivo'!$L$27+'FNC-AGRI_prospetto riassuntivo'!$L$30,J61='FNC-AGRI_prospetto riassuntivo'!$L$27+'FNC-AGRI_prospetto riassuntivo'!$L$30),1,0))</f>
        <v>1</v>
      </c>
    </row>
    <row r="62" spans="10:17" x14ac:dyDescent="0.25">
      <c r="J62" s="10">
        <f>IF(J61=0,0,IF('FNC-AGRI_prospetto riassuntivo'!$L$27+'FNC-AGRI_prospetto riassuntivo'!$L$30&gt;J61,J61+1,0))</f>
        <v>72</v>
      </c>
      <c r="K62" s="11">
        <f>O61*'FNC-AGRI_prospetto riassuntivo'!$L$32*Q62</f>
        <v>50.777510170086103</v>
      </c>
      <c r="L62" s="11">
        <f t="shared" si="5"/>
        <v>597.23991282162854</v>
      </c>
      <c r="M62" s="11">
        <f t="shared" si="6"/>
        <v>648.01742299171462</v>
      </c>
      <c r="N62" s="12">
        <f t="shared" si="7"/>
        <v>34130.733810769969</v>
      </c>
      <c r="O62" s="11">
        <f>('FNC-AGRI_prospetto riassuntivo'!$L$19-N62)*Q62</f>
        <v>29869.266189230031</v>
      </c>
      <c r="P62" s="11">
        <f>K62/(1+SUM('FNC-AGRI_prospetto riassuntivo'!$L$33:$L$34)/'FNC-AGRI_prospetto riassuntivo'!$L$28)^J62</f>
        <v>40.65805365553841</v>
      </c>
      <c r="Q62">
        <f>IF(J62=0,0,IF(OR(J62&lt;'FNC-AGRI_prospetto riassuntivo'!$L$27+'FNC-AGRI_prospetto riassuntivo'!$L$30,J62='FNC-AGRI_prospetto riassuntivo'!$L$27+'FNC-AGRI_prospetto riassuntivo'!$L$30),1,0))</f>
        <v>1</v>
      </c>
    </row>
    <row r="63" spans="10:17" x14ac:dyDescent="0.25">
      <c r="J63" s="10">
        <f>IF(J62=0,0,IF('FNC-AGRI_prospetto riassuntivo'!$L$27+'FNC-AGRI_prospetto riassuntivo'!$L$30&gt;J62,J62+1,0))</f>
        <v>73</v>
      </c>
      <c r="K63" s="11">
        <f>O62*'FNC-AGRI_prospetto riassuntivo'!$L$32*Q63</f>
        <v>49.782110315383392</v>
      </c>
      <c r="L63" s="11">
        <f t="shared" si="5"/>
        <v>598.2353126763312</v>
      </c>
      <c r="M63" s="11">
        <f t="shared" si="6"/>
        <v>648.01742299171462</v>
      </c>
      <c r="N63" s="12">
        <f t="shared" si="7"/>
        <v>34728.969123446303</v>
      </c>
      <c r="O63" s="11">
        <f>('FNC-AGRI_prospetto riassuntivo'!$L$19-N63)*Q63</f>
        <v>29271.030876553697</v>
      </c>
      <c r="P63" s="11">
        <f>K63/(1+SUM('FNC-AGRI_prospetto riassuntivo'!$L$33:$L$34)/'FNC-AGRI_prospetto riassuntivo'!$L$28)^J63</f>
        <v>39.738169989997523</v>
      </c>
      <c r="Q63">
        <f>IF(J63=0,0,IF(OR(J63&lt;'FNC-AGRI_prospetto riassuntivo'!$L$27+'FNC-AGRI_prospetto riassuntivo'!$L$30,J63='FNC-AGRI_prospetto riassuntivo'!$L$27+'FNC-AGRI_prospetto riassuntivo'!$L$30),1,0))</f>
        <v>1</v>
      </c>
    </row>
    <row r="64" spans="10:17" x14ac:dyDescent="0.25">
      <c r="J64" s="10">
        <f>IF(J63=0,0,IF('FNC-AGRI_prospetto riassuntivo'!$L$27+'FNC-AGRI_prospetto riassuntivo'!$L$30&gt;J63,J63+1,0))</f>
        <v>74</v>
      </c>
      <c r="K64" s="11">
        <f>O63*'FNC-AGRI_prospetto riassuntivo'!$L$32*Q64</f>
        <v>48.78505146092283</v>
      </c>
      <c r="L64" s="11">
        <f t="shared" si="5"/>
        <v>599.23237153079185</v>
      </c>
      <c r="M64" s="11">
        <f t="shared" si="6"/>
        <v>648.01742299171462</v>
      </c>
      <c r="N64" s="12">
        <f t="shared" si="7"/>
        <v>35328.201494977096</v>
      </c>
      <c r="O64" s="11">
        <f>('FNC-AGRI_prospetto riassuntivo'!$L$19-N64)*Q64</f>
        <v>28671.798505022904</v>
      </c>
      <c r="P64" s="11">
        <f>K64/(1+SUM('FNC-AGRI_prospetto riassuntivo'!$L$33:$L$34)/'FNC-AGRI_prospetto riassuntivo'!$L$28)^J64</f>
        <v>38.822250304987136</v>
      </c>
      <c r="Q64">
        <f>IF(J64=0,0,IF(OR(J64&lt;'FNC-AGRI_prospetto riassuntivo'!$L$27+'FNC-AGRI_prospetto riassuntivo'!$L$30,J64='FNC-AGRI_prospetto riassuntivo'!$L$27+'FNC-AGRI_prospetto riassuntivo'!$L$30),1,0))</f>
        <v>1</v>
      </c>
    </row>
    <row r="65" spans="10:17" x14ac:dyDescent="0.25">
      <c r="J65" s="10">
        <f>IF(J64=0,0,IF('FNC-AGRI_prospetto riassuntivo'!$L$27+'FNC-AGRI_prospetto riassuntivo'!$L$30&gt;J64,J64+1,0))</f>
        <v>75</v>
      </c>
      <c r="K65" s="11">
        <f>O64*'FNC-AGRI_prospetto riassuntivo'!$L$32*Q65</f>
        <v>47.786330841704846</v>
      </c>
      <c r="L65" s="11">
        <f t="shared" si="5"/>
        <v>600.23109215000977</v>
      </c>
      <c r="M65" s="11">
        <f t="shared" si="6"/>
        <v>648.01742299171462</v>
      </c>
      <c r="N65" s="12">
        <f t="shared" si="7"/>
        <v>35928.432587127107</v>
      </c>
      <c r="O65" s="11">
        <f>('FNC-AGRI_prospetto riassuntivo'!$L$19-N65)*Q65</f>
        <v>28071.567412872893</v>
      </c>
      <c r="P65" s="11">
        <f>K65/(1+SUM('FNC-AGRI_prospetto riassuntivo'!$L$33:$L$34)/'FNC-AGRI_prospetto riassuntivo'!$L$28)^J65</f>
        <v>37.910280779430309</v>
      </c>
      <c r="Q65">
        <f>IF(J65=0,0,IF(OR(J65&lt;'FNC-AGRI_prospetto riassuntivo'!$L$27+'FNC-AGRI_prospetto riassuntivo'!$L$30,J65='FNC-AGRI_prospetto riassuntivo'!$L$27+'FNC-AGRI_prospetto riassuntivo'!$L$30),1,0))</f>
        <v>1</v>
      </c>
    </row>
    <row r="66" spans="10:17" x14ac:dyDescent="0.25">
      <c r="J66" s="10">
        <f>IF(J65=0,0,IF('FNC-AGRI_prospetto riassuntivo'!$L$27+'FNC-AGRI_prospetto riassuntivo'!$L$30&gt;J65,J65+1,0))</f>
        <v>76</v>
      </c>
      <c r="K66" s="11">
        <f>O65*'FNC-AGRI_prospetto riassuntivo'!$L$32*Q66</f>
        <v>46.785945688121494</v>
      </c>
      <c r="L66" s="11">
        <f t="shared" si="5"/>
        <v>601.23147730359312</v>
      </c>
      <c r="M66" s="11">
        <f t="shared" si="6"/>
        <v>648.01742299171462</v>
      </c>
      <c r="N66" s="12">
        <f t="shared" si="7"/>
        <v>36529.664064430697</v>
      </c>
      <c r="O66" s="11">
        <f>('FNC-AGRI_prospetto riassuntivo'!$L$19-N66)*Q66</f>
        <v>27470.335935569303</v>
      </c>
      <c r="P66" s="11">
        <f>K66/(1+SUM('FNC-AGRI_prospetto riassuntivo'!$L$33:$L$34)/'FNC-AGRI_prospetto riassuntivo'!$L$28)^J66</f>
        <v>37.002247637126558</v>
      </c>
      <c r="Q66">
        <f>IF(J66=0,0,IF(OR(J66&lt;'FNC-AGRI_prospetto riassuntivo'!$L$27+'FNC-AGRI_prospetto riassuntivo'!$L$30,J66='FNC-AGRI_prospetto riassuntivo'!$L$27+'FNC-AGRI_prospetto riassuntivo'!$L$30),1,0))</f>
        <v>1</v>
      </c>
    </row>
    <row r="67" spans="10:17" x14ac:dyDescent="0.25">
      <c r="J67" s="10">
        <f>IF(J66=0,0,IF('FNC-AGRI_prospetto riassuntivo'!$L$27+'FNC-AGRI_prospetto riassuntivo'!$L$30&gt;J66,J66+1,0))</f>
        <v>77</v>
      </c>
      <c r="K67" s="11">
        <f>O66*'FNC-AGRI_prospetto riassuntivo'!$L$32*Q67</f>
        <v>45.783893225948844</v>
      </c>
      <c r="L67" s="11">
        <f t="shared" si="5"/>
        <v>602.23352976576575</v>
      </c>
      <c r="M67" s="11">
        <f t="shared" si="6"/>
        <v>648.01742299171462</v>
      </c>
      <c r="N67" s="12">
        <f t="shared" si="7"/>
        <v>37131.89759419646</v>
      </c>
      <c r="O67" s="11">
        <f>('FNC-AGRI_prospetto riassuntivo'!$L$19-N67)*Q67</f>
        <v>26868.10240580354</v>
      </c>
      <c r="P67" s="11">
        <f>K67/(1+SUM('FNC-AGRI_prospetto riassuntivo'!$L$33:$L$34)/'FNC-AGRI_prospetto riassuntivo'!$L$28)^J67</f>
        <v>36.098137146610298</v>
      </c>
      <c r="Q67">
        <f>IF(J67=0,0,IF(OR(J67&lt;'FNC-AGRI_prospetto riassuntivo'!$L$27+'FNC-AGRI_prospetto riassuntivo'!$L$30,J67='FNC-AGRI_prospetto riassuntivo'!$L$27+'FNC-AGRI_prospetto riassuntivo'!$L$30),1,0))</f>
        <v>1</v>
      </c>
    </row>
    <row r="68" spans="10:17" x14ac:dyDescent="0.25">
      <c r="J68" s="10">
        <f>IF(J67=0,0,IF('FNC-AGRI_prospetto riassuntivo'!$L$27+'FNC-AGRI_prospetto riassuntivo'!$L$30&gt;J67,J67+1,0))</f>
        <v>78</v>
      </c>
      <c r="K68" s="11">
        <f>O67*'FNC-AGRI_prospetto riassuntivo'!$L$32*Q68</f>
        <v>44.780170676339239</v>
      </c>
      <c r="L68" s="11">
        <f t="shared" si="5"/>
        <v>603.23725231537537</v>
      </c>
      <c r="M68" s="11">
        <f t="shared" si="6"/>
        <v>648.01742299171462</v>
      </c>
      <c r="N68" s="12">
        <f t="shared" si="7"/>
        <v>37735.134846511835</v>
      </c>
      <c r="O68" s="11">
        <f>('FNC-AGRI_prospetto riassuntivo'!$L$19-N68)*Q68</f>
        <v>26264.865153488165</v>
      </c>
      <c r="P68" s="11">
        <f>K68/(1+SUM('FNC-AGRI_prospetto riassuntivo'!$L$33:$L$34)/'FNC-AGRI_prospetto riassuntivo'!$L$28)^J68</f>
        <v>35.19793562100979</v>
      </c>
      <c r="Q68">
        <f>IF(J68=0,0,IF(OR(J68&lt;'FNC-AGRI_prospetto riassuntivo'!$L$27+'FNC-AGRI_prospetto riassuntivo'!$L$30,J68='FNC-AGRI_prospetto riassuntivo'!$L$27+'FNC-AGRI_prospetto riassuntivo'!$L$30),1,0))</f>
        <v>1</v>
      </c>
    </row>
    <row r="69" spans="10:17" x14ac:dyDescent="0.25">
      <c r="J69" s="10">
        <f>IF(J68=0,0,IF('FNC-AGRI_prospetto riassuntivo'!$L$27+'FNC-AGRI_prospetto riassuntivo'!$L$30&gt;J68,J68+1,0))</f>
        <v>79</v>
      </c>
      <c r="K69" s="11">
        <f>O68*'FNC-AGRI_prospetto riassuntivo'!$L$32*Q69</f>
        <v>43.774775255813609</v>
      </c>
      <c r="L69" s="11">
        <f t="shared" ref="L69:L122" si="8">M69-K69</f>
        <v>604.24264773590107</v>
      </c>
      <c r="M69" s="11">
        <f t="shared" ref="M69:M122" si="9">$M$3*Q69</f>
        <v>648.01742299171462</v>
      </c>
      <c r="N69" s="12">
        <f t="shared" ref="N69:N122" si="10">(L69+N68)*Q69</f>
        <v>38339.377494247739</v>
      </c>
      <c r="O69" s="11">
        <f>('FNC-AGRI_prospetto riassuntivo'!$L$19-N69)*Q69</f>
        <v>25660.622505752261</v>
      </c>
      <c r="P69" s="11">
        <f>K69/(1+SUM('FNC-AGRI_prospetto riassuntivo'!$L$33:$L$34)/'FNC-AGRI_prospetto riassuntivo'!$L$28)^J69</f>
        <v>34.301629417906355</v>
      </c>
      <c r="Q69">
        <f>IF(J69=0,0,IF(OR(J69&lt;'FNC-AGRI_prospetto riassuntivo'!$L$27+'FNC-AGRI_prospetto riassuntivo'!$L$30,J69='FNC-AGRI_prospetto riassuntivo'!$L$27+'FNC-AGRI_prospetto riassuntivo'!$L$30),1,0))</f>
        <v>1</v>
      </c>
    </row>
    <row r="70" spans="10:17" x14ac:dyDescent="0.25">
      <c r="J70" s="10">
        <f>IF(J69=0,0,IF('FNC-AGRI_prospetto riassuntivo'!$L$27+'FNC-AGRI_prospetto riassuntivo'!$L$30&gt;J69,J69+1,0))</f>
        <v>80</v>
      </c>
      <c r="K70" s="11">
        <f>O69*'FNC-AGRI_prospetto riassuntivo'!$L$32*Q70</f>
        <v>42.767704176253773</v>
      </c>
      <c r="L70" s="11">
        <f t="shared" si="8"/>
        <v>605.24971881546082</v>
      </c>
      <c r="M70" s="11">
        <f t="shared" si="9"/>
        <v>648.01742299171462</v>
      </c>
      <c r="N70" s="12">
        <f t="shared" si="10"/>
        <v>38944.627213063199</v>
      </c>
      <c r="O70" s="11">
        <f>('FNC-AGRI_prospetto riassuntivo'!$L$19-N70)*Q70</f>
        <v>25055.372786936801</v>
      </c>
      <c r="P70" s="11">
        <f>K70/(1+SUM('FNC-AGRI_prospetto riassuntivo'!$L$33:$L$34)/'FNC-AGRI_prospetto riassuntivo'!$L$28)^J70</f>
        <v>33.409204939194311</v>
      </c>
      <c r="Q70">
        <f>IF(J70=0,0,IF(OR(J70&lt;'FNC-AGRI_prospetto riassuntivo'!$L$27+'FNC-AGRI_prospetto riassuntivo'!$L$30,J70='FNC-AGRI_prospetto riassuntivo'!$L$27+'FNC-AGRI_prospetto riassuntivo'!$L$30),1,0))</f>
        <v>1</v>
      </c>
    </row>
    <row r="71" spans="10:17" x14ac:dyDescent="0.25">
      <c r="J71" s="10">
        <f>IF(J70=0,0,IF('FNC-AGRI_prospetto riassuntivo'!$L$27+'FNC-AGRI_prospetto riassuntivo'!$L$30&gt;J70,J70+1,0))</f>
        <v>81</v>
      </c>
      <c r="K71" s="11">
        <f>O70*'FNC-AGRI_prospetto riassuntivo'!$L$32*Q71</f>
        <v>41.758954644894672</v>
      </c>
      <c r="L71" s="11">
        <f t="shared" si="8"/>
        <v>606.25846834682</v>
      </c>
      <c r="M71" s="11">
        <f t="shared" si="9"/>
        <v>648.01742299171462</v>
      </c>
      <c r="N71" s="12">
        <f t="shared" si="10"/>
        <v>39550.885681410022</v>
      </c>
      <c r="O71" s="11">
        <f>('FNC-AGRI_prospetto riassuntivo'!$L$19-N71)*Q71</f>
        <v>24449.114318589978</v>
      </c>
      <c r="P71" s="11">
        <f>K71/(1+SUM('FNC-AGRI_prospetto riassuntivo'!$L$33:$L$34)/'FNC-AGRI_prospetto riassuntivo'!$L$28)^J71</f>
        <v>32.520648630941018</v>
      </c>
      <c r="Q71">
        <f>IF(J71=0,0,IF(OR(J71&lt;'FNC-AGRI_prospetto riassuntivo'!$L$27+'FNC-AGRI_prospetto riassuntivo'!$L$30,J71='FNC-AGRI_prospetto riassuntivo'!$L$27+'FNC-AGRI_prospetto riassuntivo'!$L$30),1,0))</f>
        <v>1</v>
      </c>
    </row>
    <row r="72" spans="10:17" x14ac:dyDescent="0.25">
      <c r="J72" s="10">
        <f>IF(J71=0,0,IF('FNC-AGRI_prospetto riassuntivo'!$L$27+'FNC-AGRI_prospetto riassuntivo'!$L$30&gt;J71,J71+1,0))</f>
        <v>82</v>
      </c>
      <c r="K72" s="11">
        <f>O71*'FNC-AGRI_prospetto riassuntivo'!$L$32*Q72</f>
        <v>40.748523864316631</v>
      </c>
      <c r="L72" s="11">
        <f t="shared" si="8"/>
        <v>607.26889912739796</v>
      </c>
      <c r="M72" s="11">
        <f t="shared" si="9"/>
        <v>648.01742299171462</v>
      </c>
      <c r="N72" s="12">
        <f t="shared" si="10"/>
        <v>40158.154580537419</v>
      </c>
      <c r="O72" s="11">
        <f>('FNC-AGRI_prospetto riassuntivo'!$L$19-N72)*Q72</f>
        <v>23841.845419462581</v>
      </c>
      <c r="P72" s="11">
        <f>K72/(1+SUM('FNC-AGRI_prospetto riassuntivo'!$L$33:$L$34)/'FNC-AGRI_prospetto riassuntivo'!$L$28)^J72</f>
        <v>31.635946983247599</v>
      </c>
      <c r="Q72">
        <f>IF(J72=0,0,IF(OR(J72&lt;'FNC-AGRI_prospetto riassuntivo'!$L$27+'FNC-AGRI_prospetto riassuntivo'!$L$30,J72='FNC-AGRI_prospetto riassuntivo'!$L$27+'FNC-AGRI_prospetto riassuntivo'!$L$30),1,0))</f>
        <v>1</v>
      </c>
    </row>
    <row r="73" spans="10:17" x14ac:dyDescent="0.25">
      <c r="J73" s="10">
        <f>IF(J72=0,0,IF('FNC-AGRI_prospetto riassuntivo'!$L$27+'FNC-AGRI_prospetto riassuntivo'!$L$30&gt;J72,J72+1,0))</f>
        <v>83</v>
      </c>
      <c r="K73" s="11">
        <f>O72*'FNC-AGRI_prospetto riassuntivo'!$L$32*Q73</f>
        <v>39.736409032437635</v>
      </c>
      <c r="L73" s="11">
        <f t="shared" si="8"/>
        <v>608.28101395927695</v>
      </c>
      <c r="M73" s="11">
        <f t="shared" si="9"/>
        <v>648.01742299171462</v>
      </c>
      <c r="N73" s="12">
        <f t="shared" si="10"/>
        <v>40766.435594496696</v>
      </c>
      <c r="O73" s="11">
        <f>('FNC-AGRI_prospetto riassuntivo'!$L$19-N73)*Q73</f>
        <v>23233.564405503304</v>
      </c>
      <c r="P73" s="11">
        <f>K73/(1+SUM('FNC-AGRI_prospetto riassuntivo'!$L$33:$L$34)/'FNC-AGRI_prospetto riassuntivo'!$L$28)^J73</f>
        <v>30.755086530110002</v>
      </c>
      <c r="Q73">
        <f>IF(J73=0,0,IF(OR(J73&lt;'FNC-AGRI_prospetto riassuntivo'!$L$27+'FNC-AGRI_prospetto riassuntivo'!$L$30,J73='FNC-AGRI_prospetto riassuntivo'!$L$27+'FNC-AGRI_prospetto riassuntivo'!$L$30),1,0))</f>
        <v>1</v>
      </c>
    </row>
    <row r="74" spans="10:17" x14ac:dyDescent="0.25">
      <c r="J74" s="10">
        <f>IF(J73=0,0,IF('FNC-AGRI_prospetto riassuntivo'!$L$27+'FNC-AGRI_prospetto riassuntivo'!$L$30&gt;J73,J73+1,0))</f>
        <v>84</v>
      </c>
      <c r="K74" s="11">
        <f>O73*'FNC-AGRI_prospetto riassuntivo'!$L$32*Q74</f>
        <v>38.722607342505512</v>
      </c>
      <c r="L74" s="11">
        <f t="shared" si="8"/>
        <v>609.29481564920911</v>
      </c>
      <c r="M74" s="11">
        <f t="shared" si="9"/>
        <v>648.01742299171462</v>
      </c>
      <c r="N74" s="12">
        <f t="shared" si="10"/>
        <v>41375.730410145901</v>
      </c>
      <c r="O74" s="11">
        <f>('FNC-AGRI_prospetto riassuntivo'!$L$19-N74)*Q74</f>
        <v>22624.269589854099</v>
      </c>
      <c r="P74" s="11">
        <f>K74/(1+SUM('FNC-AGRI_prospetto riassuntivo'!$L$33:$L$34)/'FNC-AGRI_prospetto riassuntivo'!$L$28)^J74</f>
        <v>29.878053849280498</v>
      </c>
      <c r="Q74">
        <f>IF(J74=0,0,IF(OR(J74&lt;'FNC-AGRI_prospetto riassuntivo'!$L$27+'FNC-AGRI_prospetto riassuntivo'!$L$30,J74='FNC-AGRI_prospetto riassuntivo'!$L$27+'FNC-AGRI_prospetto riassuntivo'!$L$30),1,0))</f>
        <v>1</v>
      </c>
    </row>
    <row r="75" spans="10:17" x14ac:dyDescent="0.25">
      <c r="J75" s="10">
        <f>IF(J74=0,0,IF('FNC-AGRI_prospetto riassuntivo'!$L$27+'FNC-AGRI_prospetto riassuntivo'!$L$30&gt;J74,J74+1,0))</f>
        <v>85</v>
      </c>
      <c r="K75" s="11">
        <f>O74*'FNC-AGRI_prospetto riassuntivo'!$L$32*Q75</f>
        <v>37.707115983090169</v>
      </c>
      <c r="L75" s="11">
        <f t="shared" si="8"/>
        <v>610.31030700862448</v>
      </c>
      <c r="M75" s="11">
        <f t="shared" si="9"/>
        <v>648.01742299171462</v>
      </c>
      <c r="N75" s="12">
        <f t="shared" si="10"/>
        <v>41986.040717154523</v>
      </c>
      <c r="O75" s="11">
        <f>('FNC-AGRI_prospetto riassuntivo'!$L$19-N75)*Q75</f>
        <v>22013.959282845477</v>
      </c>
      <c r="P75" s="11">
        <f>K75/(1+SUM('FNC-AGRI_prospetto riassuntivo'!$L$33:$L$34)/'FNC-AGRI_prospetto riassuntivo'!$L$28)^J75</f>
        <v>29.0048355621296</v>
      </c>
      <c r="Q75">
        <f>IF(J75=0,0,IF(OR(J75&lt;'FNC-AGRI_prospetto riassuntivo'!$L$27+'FNC-AGRI_prospetto riassuntivo'!$L$30,J75='FNC-AGRI_prospetto riassuntivo'!$L$27+'FNC-AGRI_prospetto riassuntivo'!$L$30),1,0))</f>
        <v>1</v>
      </c>
    </row>
    <row r="76" spans="10:17" x14ac:dyDescent="0.25">
      <c r="J76" s="10">
        <f>IF(J75=0,0,IF('FNC-AGRI_prospetto riassuntivo'!$L$27+'FNC-AGRI_prospetto riassuntivo'!$L$30&gt;J75,J75+1,0))</f>
        <v>86</v>
      </c>
      <c r="K76" s="11">
        <f>O75*'FNC-AGRI_prospetto riassuntivo'!$L$32*Q76</f>
        <v>36.689932138075797</v>
      </c>
      <c r="L76" s="11">
        <f t="shared" si="8"/>
        <v>611.32749085363878</v>
      </c>
      <c r="M76" s="11">
        <f t="shared" si="9"/>
        <v>648.01742299171462</v>
      </c>
      <c r="N76" s="12">
        <f t="shared" si="10"/>
        <v>42597.368208008163</v>
      </c>
      <c r="O76" s="11">
        <f>('FNC-AGRI_prospetto riassuntivo'!$L$19-N76)*Q76</f>
        <v>21402.631791991837</v>
      </c>
      <c r="P76" s="11">
        <f>K76/(1+SUM('FNC-AGRI_prospetto riassuntivo'!$L$33:$L$34)/'FNC-AGRI_prospetto riassuntivo'!$L$28)^J76</f>
        <v>28.135418333508479</v>
      </c>
      <c r="Q76">
        <f>IF(J76=0,0,IF(OR(J76&lt;'FNC-AGRI_prospetto riassuntivo'!$L$27+'FNC-AGRI_prospetto riassuntivo'!$L$30,J76='FNC-AGRI_prospetto riassuntivo'!$L$27+'FNC-AGRI_prospetto riassuntivo'!$L$30),1,0))</f>
        <v>1</v>
      </c>
    </row>
    <row r="77" spans="10:17" x14ac:dyDescent="0.25">
      <c r="J77" s="10">
        <f>IF(J76=0,0,IF('FNC-AGRI_prospetto riassuntivo'!$L$27+'FNC-AGRI_prospetto riassuntivo'!$L$30&gt;J76,J76+1,0))</f>
        <v>87</v>
      </c>
      <c r="K77" s="11">
        <f>O76*'FNC-AGRI_prospetto riassuntivo'!$L$32*Q77</f>
        <v>35.671052986653066</v>
      </c>
      <c r="L77" s="11">
        <f t="shared" si="8"/>
        <v>612.34637000506154</v>
      </c>
      <c r="M77" s="11">
        <f t="shared" si="9"/>
        <v>648.01742299171462</v>
      </c>
      <c r="N77" s="12">
        <f t="shared" si="10"/>
        <v>43209.714578013227</v>
      </c>
      <c r="O77" s="11">
        <f>('FNC-AGRI_prospetto riassuntivo'!$L$19-N77)*Q77</f>
        <v>20790.285421986773</v>
      </c>
      <c r="P77" s="11">
        <f>K77/(1+SUM('FNC-AGRI_prospetto riassuntivo'!$L$33:$L$34)/'FNC-AGRI_prospetto riassuntivo'!$L$28)^J77</f>
        <v>27.269788871611699</v>
      </c>
      <c r="Q77">
        <f>IF(J77=0,0,IF(OR(J77&lt;'FNC-AGRI_prospetto riassuntivo'!$L$27+'FNC-AGRI_prospetto riassuntivo'!$L$30,J77='FNC-AGRI_prospetto riassuntivo'!$L$27+'FNC-AGRI_prospetto riassuntivo'!$L$30),1,0))</f>
        <v>1</v>
      </c>
    </row>
    <row r="78" spans="10:17" x14ac:dyDescent="0.25">
      <c r="J78" s="10">
        <f>IF(J77=0,0,IF('FNC-AGRI_prospetto riassuntivo'!$L$27+'FNC-AGRI_prospetto riassuntivo'!$L$30&gt;J77,J77+1,0))</f>
        <v>88</v>
      </c>
      <c r="K78" s="11">
        <f>O77*'FNC-AGRI_prospetto riassuntivo'!$L$32*Q78</f>
        <v>34.650475703311294</v>
      </c>
      <c r="L78" s="11">
        <f t="shared" si="8"/>
        <v>613.36694728840337</v>
      </c>
      <c r="M78" s="11">
        <f t="shared" si="9"/>
        <v>648.01742299171462</v>
      </c>
      <c r="N78" s="12">
        <f t="shared" si="10"/>
        <v>43823.081525301634</v>
      </c>
      <c r="O78" s="11">
        <f>('FNC-AGRI_prospetto riassuntivo'!$L$19-N78)*Q78</f>
        <v>20176.918474698366</v>
      </c>
      <c r="P78" s="11">
        <f>K78/(1+SUM('FNC-AGRI_prospetto riassuntivo'!$L$33:$L$34)/'FNC-AGRI_prospetto riassuntivo'!$L$28)^J78</f>
        <v>26.407933927840499</v>
      </c>
      <c r="Q78">
        <f>IF(J78=0,0,IF(OR(J78&lt;'FNC-AGRI_prospetto riassuntivo'!$L$27+'FNC-AGRI_prospetto riassuntivo'!$L$30,J78='FNC-AGRI_prospetto riassuntivo'!$L$27+'FNC-AGRI_prospetto riassuntivo'!$L$30),1,0))</f>
        <v>1</v>
      </c>
    </row>
    <row r="79" spans="10:17" x14ac:dyDescent="0.25">
      <c r="J79" s="10">
        <f>IF(J78=0,0,IF('FNC-AGRI_prospetto riassuntivo'!$L$27+'FNC-AGRI_prospetto riassuntivo'!$L$30&gt;J78,J78+1,0))</f>
        <v>89</v>
      </c>
      <c r="K79" s="11">
        <f>O78*'FNC-AGRI_prospetto riassuntivo'!$L$32*Q79</f>
        <v>33.628197457830616</v>
      </c>
      <c r="L79" s="11">
        <f t="shared" si="8"/>
        <v>614.38922553388397</v>
      </c>
      <c r="M79" s="11">
        <f t="shared" si="9"/>
        <v>648.01742299171462</v>
      </c>
      <c r="N79" s="12">
        <f t="shared" si="10"/>
        <v>44437.47075083552</v>
      </c>
      <c r="O79" s="11">
        <f>('FNC-AGRI_prospetto riassuntivo'!$L$19-N79)*Q79</f>
        <v>19562.52924916448</v>
      </c>
      <c r="P79" s="11">
        <f>K79/(1+SUM('FNC-AGRI_prospetto riassuntivo'!$L$33:$L$34)/'FNC-AGRI_prospetto riassuntivo'!$L$28)^J79</f>
        <v>25.54984029666641</v>
      </c>
      <c r="Q79">
        <f>IF(J79=0,0,IF(OR(J79&lt;'FNC-AGRI_prospetto riassuntivo'!$L$27+'FNC-AGRI_prospetto riassuntivo'!$L$30,J79='FNC-AGRI_prospetto riassuntivo'!$L$27+'FNC-AGRI_prospetto riassuntivo'!$L$30),1,0))</f>
        <v>1</v>
      </c>
    </row>
    <row r="80" spans="10:17" x14ac:dyDescent="0.25">
      <c r="J80" s="10">
        <f>IF(J79=0,0,IF('FNC-AGRI_prospetto riassuntivo'!$L$27+'FNC-AGRI_prospetto riassuntivo'!$L$30&gt;J79,J79+1,0))</f>
        <v>90</v>
      </c>
      <c r="K80" s="11">
        <f>O79*'FNC-AGRI_prospetto riassuntivo'!$L$32*Q80</f>
        <v>32.604215415274133</v>
      </c>
      <c r="L80" s="11">
        <f t="shared" si="8"/>
        <v>615.41320757644053</v>
      </c>
      <c r="M80" s="11">
        <f t="shared" si="9"/>
        <v>648.01742299171462</v>
      </c>
      <c r="N80" s="12">
        <f t="shared" si="10"/>
        <v>45052.883958411963</v>
      </c>
      <c r="O80" s="11">
        <f>('FNC-AGRI_prospetto riassuntivo'!$L$19-N80)*Q80</f>
        <v>18947.116041588037</v>
      </c>
      <c r="P80" s="11">
        <f>K80/(1+SUM('FNC-AGRI_prospetto riassuntivo'!$L$33:$L$34)/'FNC-AGRI_prospetto riassuntivo'!$L$28)^J80</f>
        <v>24.69549481549533</v>
      </c>
      <c r="Q80">
        <f>IF(J80=0,0,IF(OR(J80&lt;'FNC-AGRI_prospetto riassuntivo'!$L$27+'FNC-AGRI_prospetto riassuntivo'!$L$30,J80='FNC-AGRI_prospetto riassuntivo'!$L$27+'FNC-AGRI_prospetto riassuntivo'!$L$30),1,0))</f>
        <v>1</v>
      </c>
    </row>
    <row r="81" spans="10:17" x14ac:dyDescent="0.25">
      <c r="J81" s="10">
        <f>IF(J80=0,0,IF('FNC-AGRI_prospetto riassuntivo'!$L$27+'FNC-AGRI_prospetto riassuntivo'!$L$30&gt;J80,J80+1,0))</f>
        <v>91</v>
      </c>
      <c r="K81" s="11">
        <f>O80*'FNC-AGRI_prospetto riassuntivo'!$L$32*Q81</f>
        <v>31.578526735980063</v>
      </c>
      <c r="L81" s="11">
        <f t="shared" si="8"/>
        <v>616.43889625573456</v>
      </c>
      <c r="M81" s="11">
        <f t="shared" si="9"/>
        <v>648.01742299171462</v>
      </c>
      <c r="N81" s="12">
        <f t="shared" si="10"/>
        <v>45669.322854667698</v>
      </c>
      <c r="O81" s="11">
        <f>('FNC-AGRI_prospetto riassuntivo'!$L$19-N81)*Q81</f>
        <v>18330.677145332302</v>
      </c>
      <c r="P81" s="11">
        <f>K81/(1+SUM('FNC-AGRI_prospetto riassuntivo'!$L$33:$L$34)/'FNC-AGRI_prospetto riassuntivo'!$L$28)^J81</f>
        <v>23.844884364532046</v>
      </c>
      <c r="Q81">
        <f>IF(J81=0,0,IF(OR(J81&lt;'FNC-AGRI_prospetto riassuntivo'!$L$27+'FNC-AGRI_prospetto riassuntivo'!$L$30,J81='FNC-AGRI_prospetto riassuntivo'!$L$27+'FNC-AGRI_prospetto riassuntivo'!$L$30),1,0))</f>
        <v>1</v>
      </c>
    </row>
    <row r="82" spans="10:17" x14ac:dyDescent="0.25">
      <c r="J82" s="10">
        <f>IF(J81=0,0,IF('FNC-AGRI_prospetto riassuntivo'!$L$27+'FNC-AGRI_prospetto riassuntivo'!$L$30&gt;J81,J81+1,0))</f>
        <v>92</v>
      </c>
      <c r="K82" s="11">
        <f>O81*'FNC-AGRI_prospetto riassuntivo'!$L$32*Q82</f>
        <v>30.55112857555384</v>
      </c>
      <c r="L82" s="11">
        <f t="shared" si="8"/>
        <v>617.46629441616074</v>
      </c>
      <c r="M82" s="11">
        <f t="shared" si="9"/>
        <v>648.01742299171462</v>
      </c>
      <c r="N82" s="12">
        <f t="shared" si="10"/>
        <v>46286.789149083859</v>
      </c>
      <c r="O82" s="11">
        <f>('FNC-AGRI_prospetto riassuntivo'!$L$19-N82)*Q82</f>
        <v>17713.210850916141</v>
      </c>
      <c r="P82" s="11">
        <f>K82/(1+SUM('FNC-AGRI_prospetto riassuntivo'!$L$33:$L$34)/'FNC-AGRI_prospetto riassuntivo'!$L$28)^J82</f>
        <v>22.997995866645123</v>
      </c>
      <c r="Q82">
        <f>IF(J82=0,0,IF(OR(J82&lt;'FNC-AGRI_prospetto riassuntivo'!$L$27+'FNC-AGRI_prospetto riassuntivo'!$L$30,J82='FNC-AGRI_prospetto riassuntivo'!$L$27+'FNC-AGRI_prospetto riassuntivo'!$L$30),1,0))</f>
        <v>1</v>
      </c>
    </row>
    <row r="83" spans="10:17" x14ac:dyDescent="0.25">
      <c r="J83" s="10">
        <f>IF(J82=0,0,IF('FNC-AGRI_prospetto riassuntivo'!$L$27+'FNC-AGRI_prospetto riassuntivo'!$L$30&gt;J82,J82+1,0))</f>
        <v>93</v>
      </c>
      <c r="K83" s="11">
        <f>O82*'FNC-AGRI_prospetto riassuntivo'!$L$32*Q83</f>
        <v>29.522018084860235</v>
      </c>
      <c r="L83" s="11">
        <f t="shared" si="8"/>
        <v>618.49540490685445</v>
      </c>
      <c r="M83" s="11">
        <f t="shared" si="9"/>
        <v>648.01742299171462</v>
      </c>
      <c r="N83" s="12">
        <f t="shared" si="10"/>
        <v>46905.284553990714</v>
      </c>
      <c r="O83" s="11">
        <f>('FNC-AGRI_prospetto riassuntivo'!$L$19-N83)*Q83</f>
        <v>17094.715446009286</v>
      </c>
      <c r="P83" s="11">
        <f>K83/(1+SUM('FNC-AGRI_prospetto riassuntivo'!$L$33:$L$34)/'FNC-AGRI_prospetto riassuntivo'!$L$28)^J83</f>
        <v>22.15481628723224</v>
      </c>
      <c r="Q83">
        <f>IF(J83=0,0,IF(OR(J83&lt;'FNC-AGRI_prospetto riassuntivo'!$L$27+'FNC-AGRI_prospetto riassuntivo'!$L$30,J83='FNC-AGRI_prospetto riassuntivo'!$L$27+'FNC-AGRI_prospetto riassuntivo'!$L$30),1,0))</f>
        <v>1</v>
      </c>
    </row>
    <row r="84" spans="10:17" x14ac:dyDescent="0.25">
      <c r="J84" s="10">
        <f>IF(J83=0,0,IF('FNC-AGRI_prospetto riassuntivo'!$L$27+'FNC-AGRI_prospetto riassuntivo'!$L$30&gt;J83,J83+1,0))</f>
        <v>94</v>
      </c>
      <c r="K84" s="11">
        <f>O83*'FNC-AGRI_prospetto riassuntivo'!$L$32*Q84</f>
        <v>28.491192410015479</v>
      </c>
      <c r="L84" s="11">
        <f t="shared" si="8"/>
        <v>619.52623058169911</v>
      </c>
      <c r="M84" s="11">
        <f t="shared" si="9"/>
        <v>648.01742299171462</v>
      </c>
      <c r="N84" s="12">
        <f t="shared" si="10"/>
        <v>47524.810784572415</v>
      </c>
      <c r="O84" s="11">
        <f>('FNC-AGRI_prospetto riassuntivo'!$L$19-N84)*Q84</f>
        <v>16475.189215427585</v>
      </c>
      <c r="P84" s="11">
        <f>K84/(1+SUM('FNC-AGRI_prospetto riassuntivo'!$L$33:$L$34)/'FNC-AGRI_prospetto riassuntivo'!$L$28)^J84</f>
        <v>21.315332634086015</v>
      </c>
      <c r="Q84">
        <f>IF(J84=0,0,IF(OR(J84&lt;'FNC-AGRI_prospetto riassuntivo'!$L$27+'FNC-AGRI_prospetto riassuntivo'!$L$30,J84='FNC-AGRI_prospetto riassuntivo'!$L$27+'FNC-AGRI_prospetto riassuntivo'!$L$30),1,0))</f>
        <v>1</v>
      </c>
    </row>
    <row r="85" spans="10:17" x14ac:dyDescent="0.25">
      <c r="J85" s="10">
        <f>IF(J84=0,0,IF('FNC-AGRI_prospetto riassuntivo'!$L$27+'FNC-AGRI_prospetto riassuntivo'!$L$30&gt;J84,J84+1,0))</f>
        <v>95</v>
      </c>
      <c r="K85" s="11">
        <f>O84*'FNC-AGRI_prospetto riassuntivo'!$L$32*Q85</f>
        <v>27.45864869237931</v>
      </c>
      <c r="L85" s="11">
        <f t="shared" si="8"/>
        <v>620.55877429933537</v>
      </c>
      <c r="M85" s="11">
        <f t="shared" si="9"/>
        <v>648.01742299171462</v>
      </c>
      <c r="N85" s="12">
        <f t="shared" si="10"/>
        <v>48145.369558871753</v>
      </c>
      <c r="O85" s="11">
        <f>('FNC-AGRI_prospetto riassuntivo'!$L$19-N85)*Q85</f>
        <v>15854.630441128247</v>
      </c>
      <c r="P85" s="11">
        <f>K85/(1+SUM('FNC-AGRI_prospetto riassuntivo'!$L$33:$L$34)/'FNC-AGRI_prospetto riassuntivo'!$L$28)^J85</f>
        <v>20.479531957260079</v>
      </c>
      <c r="Q85">
        <f>IF(J85=0,0,IF(OR(J85&lt;'FNC-AGRI_prospetto riassuntivo'!$L$27+'FNC-AGRI_prospetto riassuntivo'!$L$30,J85='FNC-AGRI_prospetto riassuntivo'!$L$27+'FNC-AGRI_prospetto riassuntivo'!$L$30),1,0))</f>
        <v>1</v>
      </c>
    </row>
    <row r="86" spans="10:17" x14ac:dyDescent="0.25">
      <c r="J86" s="10">
        <f>IF(J85=0,0,IF('FNC-AGRI_prospetto riassuntivo'!$L$27+'FNC-AGRI_prospetto riassuntivo'!$L$30&gt;J85,J85+1,0))</f>
        <v>96</v>
      </c>
      <c r="K86" s="11">
        <f>O85*'FNC-AGRI_prospetto riassuntivo'!$L$32*Q86</f>
        <v>26.424384068547081</v>
      </c>
      <c r="L86" s="11">
        <f t="shared" si="8"/>
        <v>621.59303892316757</v>
      </c>
      <c r="M86" s="11">
        <f t="shared" si="9"/>
        <v>648.01742299171462</v>
      </c>
      <c r="N86" s="12">
        <f t="shared" si="10"/>
        <v>48766.962597794918</v>
      </c>
      <c r="O86" s="11">
        <f>('FNC-AGRI_prospetto riassuntivo'!$L$19-N86)*Q86</f>
        <v>15233.037402205082</v>
      </c>
      <c r="P86" s="11">
        <f>K86/(1+SUM('FNC-AGRI_prospetto riassuntivo'!$L$33:$L$34)/'FNC-AGRI_prospetto riassuntivo'!$L$28)^J86</f>
        <v>19.64740134893578</v>
      </c>
      <c r="Q86">
        <f>IF(J86=0,0,IF(OR(J86&lt;'FNC-AGRI_prospetto riassuntivo'!$L$27+'FNC-AGRI_prospetto riassuntivo'!$L$30,J86='FNC-AGRI_prospetto riassuntivo'!$L$27+'FNC-AGRI_prospetto riassuntivo'!$L$30),1,0))</f>
        <v>1</v>
      </c>
    </row>
    <row r="87" spans="10:17" x14ac:dyDescent="0.25">
      <c r="J87" s="10">
        <f>IF(J86=0,0,IF('FNC-AGRI_prospetto riassuntivo'!$L$27+'FNC-AGRI_prospetto riassuntivo'!$L$30&gt;J86,J86+1,0))</f>
        <v>97</v>
      </c>
      <c r="K87" s="11">
        <f>O86*'FNC-AGRI_prospetto riassuntivo'!$L$32*Q87</f>
        <v>25.388395670341804</v>
      </c>
      <c r="L87" s="11">
        <f t="shared" si="8"/>
        <v>622.62902732137286</v>
      </c>
      <c r="M87" s="11">
        <f t="shared" si="9"/>
        <v>648.01742299171462</v>
      </c>
      <c r="N87" s="12">
        <f t="shared" si="10"/>
        <v>49389.591625116293</v>
      </c>
      <c r="O87" s="11">
        <f>('FNC-AGRI_prospetto riassuntivo'!$L$19-N87)*Q87</f>
        <v>14610.408374883707</v>
      </c>
      <c r="P87" s="11">
        <f>K87/(1+SUM('FNC-AGRI_prospetto riassuntivo'!$L$33:$L$34)/'FNC-AGRI_prospetto riassuntivo'!$L$28)^J87</f>
        <v>18.818927943289133</v>
      </c>
      <c r="Q87">
        <f>IF(J87=0,0,IF(OR(J87&lt;'FNC-AGRI_prospetto riassuntivo'!$L$27+'FNC-AGRI_prospetto riassuntivo'!$L$30,J87='FNC-AGRI_prospetto riassuntivo'!$L$27+'FNC-AGRI_prospetto riassuntivo'!$L$30),1,0))</f>
        <v>1</v>
      </c>
    </row>
    <row r="88" spans="10:17" x14ac:dyDescent="0.25">
      <c r="J88" s="10">
        <f>IF(J87=0,0,IF('FNC-AGRI_prospetto riassuntivo'!$L$27+'FNC-AGRI_prospetto riassuntivo'!$L$30&gt;J87,J87+1,0))</f>
        <v>98</v>
      </c>
      <c r="K88" s="11">
        <f>O87*'FNC-AGRI_prospetto riassuntivo'!$L$32*Q88</f>
        <v>24.350680624806181</v>
      </c>
      <c r="L88" s="11">
        <f t="shared" si="8"/>
        <v>623.66674236690847</v>
      </c>
      <c r="M88" s="11">
        <f t="shared" si="9"/>
        <v>648.01742299171462</v>
      </c>
      <c r="N88" s="12">
        <f t="shared" si="10"/>
        <v>50013.258367483199</v>
      </c>
      <c r="O88" s="11">
        <f>('FNC-AGRI_prospetto riassuntivo'!$L$19-N88)*Q88</f>
        <v>13986.741632516801</v>
      </c>
      <c r="P88" s="11">
        <f>K88/(1+SUM('FNC-AGRI_prospetto riassuntivo'!$L$33:$L$34)/'FNC-AGRI_prospetto riassuntivo'!$L$28)^J88</f>
        <v>17.994098916358233</v>
      </c>
      <c r="Q88">
        <f>IF(J88=0,0,IF(OR(J88&lt;'FNC-AGRI_prospetto riassuntivo'!$L$27+'FNC-AGRI_prospetto riassuntivo'!$L$30,J88='FNC-AGRI_prospetto riassuntivo'!$L$27+'FNC-AGRI_prospetto riassuntivo'!$L$30),1,0))</f>
        <v>1</v>
      </c>
    </row>
    <row r="89" spans="10:17" x14ac:dyDescent="0.25">
      <c r="J89" s="10">
        <f>IF(J88=0,0,IF('FNC-AGRI_prospetto riassuntivo'!$L$27+'FNC-AGRI_prospetto riassuntivo'!$L$30&gt;J88,J88+1,0))</f>
        <v>99</v>
      </c>
      <c r="K89" s="11">
        <f>O88*'FNC-AGRI_prospetto riassuntivo'!$L$32*Q89</f>
        <v>23.311236054194669</v>
      </c>
      <c r="L89" s="11">
        <f t="shared" si="8"/>
        <v>624.70618693751999</v>
      </c>
      <c r="M89" s="11">
        <f t="shared" si="9"/>
        <v>648.01742299171462</v>
      </c>
      <c r="N89" s="12">
        <f t="shared" si="10"/>
        <v>50637.964554420716</v>
      </c>
      <c r="O89" s="11">
        <f>('FNC-AGRI_prospetto riassuntivo'!$L$19-N89)*Q89</f>
        <v>13362.035445579284</v>
      </c>
      <c r="P89" s="11">
        <f>K89/(1+SUM('FNC-AGRI_prospetto riassuntivo'!$L$33:$L$34)/'FNC-AGRI_prospetto riassuntivo'!$L$28)^J89</f>
        <v>17.172901485911144</v>
      </c>
      <c r="Q89">
        <f>IF(J89=0,0,IF(OR(J89&lt;'FNC-AGRI_prospetto riassuntivo'!$L$27+'FNC-AGRI_prospetto riassuntivo'!$L$30,J89='FNC-AGRI_prospetto riassuntivo'!$L$27+'FNC-AGRI_prospetto riassuntivo'!$L$30),1,0))</f>
        <v>1</v>
      </c>
    </row>
    <row r="90" spans="10:17" x14ac:dyDescent="0.25">
      <c r="J90" s="10">
        <f>IF(J89=0,0,IF('FNC-AGRI_prospetto riassuntivo'!$L$27+'FNC-AGRI_prospetto riassuntivo'!$L$30&gt;J89,J89+1,0))</f>
        <v>100</v>
      </c>
      <c r="K90" s="11">
        <f>O89*'FNC-AGRI_prospetto riassuntivo'!$L$32*Q90</f>
        <v>22.270059075965474</v>
      </c>
      <c r="L90" s="11">
        <f t="shared" si="8"/>
        <v>625.74736391574913</v>
      </c>
      <c r="M90" s="11">
        <f t="shared" si="9"/>
        <v>648.01742299171462</v>
      </c>
      <c r="N90" s="12">
        <f t="shared" si="10"/>
        <v>51263.711918336463</v>
      </c>
      <c r="O90" s="11">
        <f>('FNC-AGRI_prospetto riassuntivo'!$L$19-N90)*Q90</f>
        <v>12736.288081663537</v>
      </c>
      <c r="P90" s="11">
        <f>K90/(1+SUM('FNC-AGRI_prospetto riassuntivo'!$L$33:$L$34)/'FNC-AGRI_prospetto riassuntivo'!$L$28)^J90</f>
        <v>16.355322911314115</v>
      </c>
      <c r="Q90">
        <f>IF(J90=0,0,IF(OR(J90&lt;'FNC-AGRI_prospetto riassuntivo'!$L$27+'FNC-AGRI_prospetto riassuntivo'!$L$30,J90='FNC-AGRI_prospetto riassuntivo'!$L$27+'FNC-AGRI_prospetto riassuntivo'!$L$30),1,0))</f>
        <v>1</v>
      </c>
    </row>
    <row r="91" spans="10:17" x14ac:dyDescent="0.25">
      <c r="J91" s="10">
        <f>IF(J90=0,0,IF('FNC-AGRI_prospetto riassuntivo'!$L$27+'FNC-AGRI_prospetto riassuntivo'!$L$30&gt;J90,J90+1,0))</f>
        <v>101</v>
      </c>
      <c r="K91" s="11">
        <f>O90*'FNC-AGRI_prospetto riassuntivo'!$L$32*Q91</f>
        <v>21.227146802772562</v>
      </c>
      <c r="L91" s="11">
        <f t="shared" si="8"/>
        <v>626.79027618894202</v>
      </c>
      <c r="M91" s="11">
        <f t="shared" si="9"/>
        <v>648.01742299171462</v>
      </c>
      <c r="N91" s="12">
        <f t="shared" si="10"/>
        <v>51890.502194525405</v>
      </c>
      <c r="O91" s="11">
        <f>('FNC-AGRI_prospetto riassuntivo'!$L$19-N91)*Q91</f>
        <v>12109.497805474595</v>
      </c>
      <c r="P91" s="11">
        <f>K91/(1+SUM('FNC-AGRI_prospetto riassuntivo'!$L$33:$L$34)/'FNC-AGRI_prospetto riassuntivo'!$L$28)^J91</f>
        <v>15.541350493400241</v>
      </c>
      <c r="Q91">
        <f>IF(J91=0,0,IF(OR(J91&lt;'FNC-AGRI_prospetto riassuntivo'!$L$27+'FNC-AGRI_prospetto riassuntivo'!$L$30,J91='FNC-AGRI_prospetto riassuntivo'!$L$27+'FNC-AGRI_prospetto riassuntivo'!$L$30),1,0))</f>
        <v>1</v>
      </c>
    </row>
    <row r="92" spans="10:17" x14ac:dyDescent="0.25">
      <c r="J92" s="10">
        <f>IF(J91=0,0,IF('FNC-AGRI_prospetto riassuntivo'!$L$27+'FNC-AGRI_prospetto riassuntivo'!$L$30&gt;J91,J91+1,0))</f>
        <v>102</v>
      </c>
      <c r="K92" s="11">
        <f>O91*'FNC-AGRI_prospetto riassuntivo'!$L$32*Q92</f>
        <v>20.182496342457661</v>
      </c>
      <c r="L92" s="11">
        <f t="shared" si="8"/>
        <v>627.834926649257</v>
      </c>
      <c r="M92" s="11">
        <f t="shared" si="9"/>
        <v>648.01742299171462</v>
      </c>
      <c r="N92" s="12">
        <f t="shared" si="10"/>
        <v>52518.337121174663</v>
      </c>
      <c r="O92" s="11">
        <f>('FNC-AGRI_prospetto riassuntivo'!$L$19-N92)*Q92</f>
        <v>11481.662878825337</v>
      </c>
      <c r="P92" s="11">
        <f>K92/(1+SUM('FNC-AGRI_prospetto riassuntivo'!$L$33:$L$34)/'FNC-AGRI_prospetto riassuntivo'!$L$28)^J92</f>
        <v>14.730971574338557</v>
      </c>
      <c r="Q92">
        <f>IF(J92=0,0,IF(OR(J92&lt;'FNC-AGRI_prospetto riassuntivo'!$L$27+'FNC-AGRI_prospetto riassuntivo'!$L$30,J92='FNC-AGRI_prospetto riassuntivo'!$L$27+'FNC-AGRI_prospetto riassuntivo'!$L$30),1,0))</f>
        <v>1</v>
      </c>
    </row>
    <row r="93" spans="10:17" x14ac:dyDescent="0.25">
      <c r="J93" s="10">
        <f>IF(J92=0,0,IF('FNC-AGRI_prospetto riassuntivo'!$L$27+'FNC-AGRI_prospetto riassuntivo'!$L$30&gt;J92,J92+1,0))</f>
        <v>103</v>
      </c>
      <c r="K93" s="11">
        <f>O92*'FNC-AGRI_prospetto riassuntivo'!$L$32*Q93</f>
        <v>19.136104798042229</v>
      </c>
      <c r="L93" s="11">
        <f t="shared" si="8"/>
        <v>628.88131819367243</v>
      </c>
      <c r="M93" s="11">
        <f t="shared" si="9"/>
        <v>648.01742299171462</v>
      </c>
      <c r="N93" s="12">
        <f t="shared" si="10"/>
        <v>53147.218439368335</v>
      </c>
      <c r="O93" s="11">
        <f>('FNC-AGRI_prospetto riassuntivo'!$L$19-N93)*Q93</f>
        <v>10852.781560631665</v>
      </c>
      <c r="P93" s="11">
        <f>K93/(1+SUM('FNC-AGRI_prospetto riassuntivo'!$L$33:$L$34)/'FNC-AGRI_prospetto riassuntivo'!$L$28)^J93</f>
        <v>13.924173537503474</v>
      </c>
      <c r="Q93">
        <f>IF(J93=0,0,IF(OR(J93&lt;'FNC-AGRI_prospetto riassuntivo'!$L$27+'FNC-AGRI_prospetto riassuntivo'!$L$30,J93='FNC-AGRI_prospetto riassuntivo'!$L$27+'FNC-AGRI_prospetto riassuntivo'!$L$30),1,0))</f>
        <v>1</v>
      </c>
    </row>
    <row r="94" spans="10:17" x14ac:dyDescent="0.25">
      <c r="J94" s="10">
        <f>IF(J93=0,0,IF('FNC-AGRI_prospetto riassuntivo'!$L$27+'FNC-AGRI_prospetto riassuntivo'!$L$30&gt;J93,J93+1,0))</f>
        <v>104</v>
      </c>
      <c r="K94" s="11">
        <f>O93*'FNC-AGRI_prospetto riassuntivo'!$L$32*Q94</f>
        <v>18.087969267719444</v>
      </c>
      <c r="L94" s="11">
        <f t="shared" si="8"/>
        <v>629.92945372399515</v>
      </c>
      <c r="M94" s="11">
        <f t="shared" si="9"/>
        <v>648.01742299171462</v>
      </c>
      <c r="N94" s="12">
        <f t="shared" si="10"/>
        <v>53777.147893092333</v>
      </c>
      <c r="O94" s="11">
        <f>('FNC-AGRI_prospetto riassuntivo'!$L$19-N94)*Q94</f>
        <v>10222.852106907667</v>
      </c>
      <c r="P94" s="11">
        <f>K94/(1+SUM('FNC-AGRI_prospetto riassuntivo'!$L$33:$L$34)/'FNC-AGRI_prospetto riassuntivo'!$L$28)^J94</f>
        <v>13.120943807344734</v>
      </c>
      <c r="Q94">
        <f>IF(J94=0,0,IF(OR(J94&lt;'FNC-AGRI_prospetto riassuntivo'!$L$27+'FNC-AGRI_prospetto riassuntivo'!$L$30,J94='FNC-AGRI_prospetto riassuntivo'!$L$27+'FNC-AGRI_prospetto riassuntivo'!$L$30),1,0))</f>
        <v>1</v>
      </c>
    </row>
    <row r="95" spans="10:17" x14ac:dyDescent="0.25">
      <c r="J95" s="10">
        <f>IF(J94=0,0,IF('FNC-AGRI_prospetto riassuntivo'!$L$27+'FNC-AGRI_prospetto riassuntivo'!$L$30&gt;J94,J94+1,0))</f>
        <v>105</v>
      </c>
      <c r="K95" s="11">
        <f>O94*'FNC-AGRI_prospetto riassuntivo'!$L$32*Q95</f>
        <v>17.038086844846113</v>
      </c>
      <c r="L95" s="11">
        <f t="shared" si="8"/>
        <v>630.97933614686849</v>
      </c>
      <c r="M95" s="11">
        <f t="shared" si="9"/>
        <v>648.01742299171462</v>
      </c>
      <c r="N95" s="12">
        <f t="shared" si="10"/>
        <v>54408.127229239202</v>
      </c>
      <c r="O95" s="11">
        <f>('FNC-AGRI_prospetto riassuntivo'!$L$19-N95)*Q95</f>
        <v>9591.8727707607977</v>
      </c>
      <c r="P95" s="11">
        <f>K95/(1+SUM('FNC-AGRI_prospetto riassuntivo'!$L$33:$L$34)/'FNC-AGRI_prospetto riassuntivo'!$L$28)^J95</f>
        <v>12.321269849257616</v>
      </c>
      <c r="Q95">
        <f>IF(J95=0,0,IF(OR(J95&lt;'FNC-AGRI_prospetto riassuntivo'!$L$27+'FNC-AGRI_prospetto riassuntivo'!$L$30,J95='FNC-AGRI_prospetto riassuntivo'!$L$27+'FNC-AGRI_prospetto riassuntivo'!$L$30),1,0))</f>
        <v>1</v>
      </c>
    </row>
    <row r="96" spans="10:17" x14ac:dyDescent="0.25">
      <c r="J96" s="10">
        <f>IF(J95=0,0,IF('FNC-AGRI_prospetto riassuntivo'!$L$27+'FNC-AGRI_prospetto riassuntivo'!$L$30&gt;J95,J95+1,0))</f>
        <v>106</v>
      </c>
      <c r="K96" s="11">
        <f>O95*'FNC-AGRI_prospetto riassuntivo'!$L$32*Q96</f>
        <v>15.986454617934664</v>
      </c>
      <c r="L96" s="11">
        <f t="shared" si="8"/>
        <v>632.03096837377996</v>
      </c>
      <c r="M96" s="11">
        <f t="shared" si="9"/>
        <v>648.01742299171462</v>
      </c>
      <c r="N96" s="12">
        <f t="shared" si="10"/>
        <v>55040.158197612982</v>
      </c>
      <c r="O96" s="11">
        <f>('FNC-AGRI_prospetto riassuntivo'!$L$19-N96)*Q96</f>
        <v>8959.8418023870181</v>
      </c>
      <c r="P96" s="11">
        <f>K96/(1+SUM('FNC-AGRI_prospetto riassuntivo'!$L$33:$L$34)/'FNC-AGRI_prospetto riassuntivo'!$L$28)^J96</f>
        <v>11.525139169453698</v>
      </c>
      <c r="Q96">
        <f>IF(J96=0,0,IF(OR(J96&lt;'FNC-AGRI_prospetto riassuntivo'!$L$27+'FNC-AGRI_prospetto riassuntivo'!$L$30,J96='FNC-AGRI_prospetto riassuntivo'!$L$27+'FNC-AGRI_prospetto riassuntivo'!$L$30),1,0))</f>
        <v>1</v>
      </c>
    </row>
    <row r="97" spans="10:17" x14ac:dyDescent="0.25">
      <c r="J97" s="10">
        <f>IF(J96=0,0,IF('FNC-AGRI_prospetto riassuntivo'!$L$27+'FNC-AGRI_prospetto riassuntivo'!$L$30&gt;J96,J96+1,0))</f>
        <v>107</v>
      </c>
      <c r="K97" s="11">
        <f>O96*'FNC-AGRI_prospetto riassuntivo'!$L$32*Q97</f>
        <v>14.933069670645031</v>
      </c>
      <c r="L97" s="11">
        <f t="shared" si="8"/>
        <v>633.08435332106956</v>
      </c>
      <c r="M97" s="11">
        <f t="shared" si="9"/>
        <v>648.01742299171462</v>
      </c>
      <c r="N97" s="12">
        <f t="shared" si="10"/>
        <v>55673.242550934054</v>
      </c>
      <c r="O97" s="11">
        <f>('FNC-AGRI_prospetto riassuntivo'!$L$19-N97)*Q97</f>
        <v>8326.7574490659463</v>
      </c>
      <c r="P97" s="11">
        <f>K97/(1+SUM('FNC-AGRI_prospetto riassuntivo'!$L$33:$L$34)/'FNC-AGRI_prospetto riassuntivo'!$L$28)^J97</f>
        <v>10.73253931483192</v>
      </c>
      <c r="Q97">
        <f>IF(J97=0,0,IF(OR(J97&lt;'FNC-AGRI_prospetto riassuntivo'!$L$27+'FNC-AGRI_prospetto riassuntivo'!$L$30,J97='FNC-AGRI_prospetto riassuntivo'!$L$27+'FNC-AGRI_prospetto riassuntivo'!$L$30),1,0))</f>
        <v>1</v>
      </c>
    </row>
    <row r="98" spans="10:17" x14ac:dyDescent="0.25">
      <c r="J98" s="10">
        <f>IF(J97=0,0,IF('FNC-AGRI_prospetto riassuntivo'!$L$27+'FNC-AGRI_prospetto riassuntivo'!$L$30&gt;J97,J97+1,0))</f>
        <v>108</v>
      </c>
      <c r="K98" s="11">
        <f>O97*'FNC-AGRI_prospetto riassuntivo'!$L$32*Q98</f>
        <v>13.877929081776578</v>
      </c>
      <c r="L98" s="11">
        <f t="shared" si="8"/>
        <v>634.1394939099381</v>
      </c>
      <c r="M98" s="11">
        <f t="shared" si="9"/>
        <v>648.01742299171462</v>
      </c>
      <c r="N98" s="12">
        <f t="shared" si="10"/>
        <v>56307.382044843995</v>
      </c>
      <c r="O98" s="11">
        <f>('FNC-AGRI_prospetto riassuntivo'!$L$19-N98)*Q98</f>
        <v>7692.6179551560053</v>
      </c>
      <c r="P98" s="11">
        <f>K98/(1+SUM('FNC-AGRI_prospetto riassuntivo'!$L$33:$L$34)/'FNC-AGRI_prospetto riassuntivo'!$L$28)^J98</f>
        <v>9.9434578728500842</v>
      </c>
      <c r="Q98">
        <f>IF(J98=0,0,IF(OR(J98&lt;'FNC-AGRI_prospetto riassuntivo'!$L$27+'FNC-AGRI_prospetto riassuntivo'!$L$30,J98='FNC-AGRI_prospetto riassuntivo'!$L$27+'FNC-AGRI_prospetto riassuntivo'!$L$30),1,0))</f>
        <v>1</v>
      </c>
    </row>
    <row r="99" spans="10:17" x14ac:dyDescent="0.25">
      <c r="J99" s="10">
        <f>IF(J98=0,0,IF('FNC-AGRI_prospetto riassuntivo'!$L$27+'FNC-AGRI_prospetto riassuntivo'!$L$30&gt;J98,J98+1,0))</f>
        <v>109</v>
      </c>
      <c r="K99" s="11">
        <f>O98*'FNC-AGRI_prospetto riassuntivo'!$L$32*Q99</f>
        <v>12.82102992526001</v>
      </c>
      <c r="L99" s="11">
        <f t="shared" si="8"/>
        <v>635.19639306645456</v>
      </c>
      <c r="M99" s="11">
        <f t="shared" si="9"/>
        <v>648.01742299171462</v>
      </c>
      <c r="N99" s="12">
        <f t="shared" si="10"/>
        <v>56942.578437910452</v>
      </c>
      <c r="O99" s="11">
        <f>('FNC-AGRI_prospetto riassuntivo'!$L$19-N99)*Q99</f>
        <v>7057.4215620895484</v>
      </c>
      <c r="P99" s="11">
        <f>K99/(1+SUM('FNC-AGRI_prospetto riassuntivo'!$L$33:$L$34)/'FNC-AGRI_prospetto riassuntivo'!$L$28)^J99</f>
        <v>9.1578824713967695</v>
      </c>
      <c r="Q99">
        <f>IF(J99=0,0,IF(OR(J99&lt;'FNC-AGRI_prospetto riassuntivo'!$L$27+'FNC-AGRI_prospetto riassuntivo'!$L$30,J99='FNC-AGRI_prospetto riassuntivo'!$L$27+'FNC-AGRI_prospetto riassuntivo'!$L$30),1,0))</f>
        <v>1</v>
      </c>
    </row>
    <row r="100" spans="10:17" x14ac:dyDescent="0.25">
      <c r="J100" s="10">
        <f>IF(J99=0,0,IF('FNC-AGRI_prospetto riassuntivo'!$L$27+'FNC-AGRI_prospetto riassuntivo'!$L$30&gt;J99,J99+1,0))</f>
        <v>110</v>
      </c>
      <c r="K100" s="11">
        <f>O99*'FNC-AGRI_prospetto riassuntivo'!$L$32*Q100</f>
        <v>11.762369270149248</v>
      </c>
      <c r="L100" s="11">
        <f t="shared" si="8"/>
        <v>636.25505372156533</v>
      </c>
      <c r="M100" s="11">
        <f t="shared" si="9"/>
        <v>648.01742299171462</v>
      </c>
      <c r="N100" s="12">
        <f t="shared" si="10"/>
        <v>57578.833491632016</v>
      </c>
      <c r="O100" s="11">
        <f>('FNC-AGRI_prospetto riassuntivo'!$L$19-N100)*Q100</f>
        <v>6421.1665083679836</v>
      </c>
      <c r="P100" s="11">
        <f>K100/(1+SUM('FNC-AGRI_prospetto riassuntivo'!$L$33:$L$34)/'FNC-AGRI_prospetto riassuntivo'!$L$28)^J100</f>
        <v>8.3758007786636313</v>
      </c>
      <c r="Q100">
        <f>IF(J100=0,0,IF(OR(J100&lt;'FNC-AGRI_prospetto riassuntivo'!$L$27+'FNC-AGRI_prospetto riassuntivo'!$L$30,J100='FNC-AGRI_prospetto riassuntivo'!$L$27+'FNC-AGRI_prospetto riassuntivo'!$L$30),1,0))</f>
        <v>1</v>
      </c>
    </row>
    <row r="101" spans="10:17" x14ac:dyDescent="0.25">
      <c r="J101" s="10">
        <f>IF(J100=0,0,IF('FNC-AGRI_prospetto riassuntivo'!$L$27+'FNC-AGRI_prospetto riassuntivo'!$L$30&gt;J100,J100+1,0))</f>
        <v>111</v>
      </c>
      <c r="K101" s="11">
        <f>O100*'FNC-AGRI_prospetto riassuntivo'!$L$32*Q101</f>
        <v>10.701944180613307</v>
      </c>
      <c r="L101" s="11">
        <f t="shared" si="8"/>
        <v>637.31547881110134</v>
      </c>
      <c r="M101" s="11">
        <f t="shared" si="9"/>
        <v>648.01742299171462</v>
      </c>
      <c r="N101" s="12">
        <f t="shared" si="10"/>
        <v>58216.148970443115</v>
      </c>
      <c r="O101" s="11">
        <f>('FNC-AGRI_prospetto riassuntivo'!$L$19-N101)*Q101</f>
        <v>5783.8510295568849</v>
      </c>
      <c r="P101" s="11">
        <f>K101/(1+SUM('FNC-AGRI_prospetto riassuntivo'!$L$33:$L$34)/'FNC-AGRI_prospetto riassuntivo'!$L$28)^J101</f>
        <v>7.5972005030180796</v>
      </c>
      <c r="Q101">
        <f>IF(J101=0,0,IF(OR(J101&lt;'FNC-AGRI_prospetto riassuntivo'!$L$27+'FNC-AGRI_prospetto riassuntivo'!$L$30,J101='FNC-AGRI_prospetto riassuntivo'!$L$27+'FNC-AGRI_prospetto riassuntivo'!$L$30),1,0))</f>
        <v>1</v>
      </c>
    </row>
    <row r="102" spans="10:17" x14ac:dyDescent="0.25">
      <c r="J102" s="10">
        <f>IF(J101=0,0,IF('FNC-AGRI_prospetto riassuntivo'!$L$27+'FNC-AGRI_prospetto riassuntivo'!$L$30&gt;J101,J101+1,0))</f>
        <v>112</v>
      </c>
      <c r="K102" s="11">
        <f>O101*'FNC-AGRI_prospetto riassuntivo'!$L$32*Q102</f>
        <v>9.6397517159281421</v>
      </c>
      <c r="L102" s="11">
        <f t="shared" si="8"/>
        <v>638.3776712757865</v>
      </c>
      <c r="M102" s="11">
        <f t="shared" si="9"/>
        <v>648.01742299171462</v>
      </c>
      <c r="N102" s="12">
        <f t="shared" si="10"/>
        <v>58854.526641718905</v>
      </c>
      <c r="O102" s="11">
        <f>('FNC-AGRI_prospetto riassuntivo'!$L$19-N102)*Q102</f>
        <v>5145.473358281095</v>
      </c>
      <c r="P102" s="11">
        <f>K102/(1+SUM('FNC-AGRI_prospetto riassuntivo'!$L$33:$L$34)/'FNC-AGRI_prospetto riassuntivo'!$L$28)^J102</f>
        <v>6.8220693928763882</v>
      </c>
      <c r="Q102">
        <f>IF(J102=0,0,IF(OR(J102&lt;'FNC-AGRI_prospetto riassuntivo'!$L$27+'FNC-AGRI_prospetto riassuntivo'!$L$30,J102='FNC-AGRI_prospetto riassuntivo'!$L$27+'FNC-AGRI_prospetto riassuntivo'!$L$30),1,0))</f>
        <v>1</v>
      </c>
    </row>
    <row r="103" spans="10:17" x14ac:dyDescent="0.25">
      <c r="J103" s="10">
        <f>IF(J102=0,0,IF('FNC-AGRI_prospetto riassuntivo'!$L$27+'FNC-AGRI_prospetto riassuntivo'!$L$30&gt;J102,J102+1,0))</f>
        <v>113</v>
      </c>
      <c r="K103" s="11">
        <f>O102*'FNC-AGRI_prospetto riassuntivo'!$L$32*Q103</f>
        <v>8.5757889304684927</v>
      </c>
      <c r="L103" s="11">
        <f t="shared" si="8"/>
        <v>639.44163406124608</v>
      </c>
      <c r="M103" s="11">
        <f t="shared" si="9"/>
        <v>648.01742299171462</v>
      </c>
      <c r="N103" s="12">
        <f t="shared" si="10"/>
        <v>59493.968275780149</v>
      </c>
      <c r="O103" s="11">
        <f>('FNC-AGRI_prospetto riassuntivo'!$L$19-N103)*Q103</f>
        <v>4506.0317242198507</v>
      </c>
      <c r="P103" s="11">
        <f>K103/(1+SUM('FNC-AGRI_prospetto riassuntivo'!$L$33:$L$34)/'FNC-AGRI_prospetto riassuntivo'!$L$28)^J103</f>
        <v>6.0503952365771676</v>
      </c>
      <c r="Q103">
        <f>IF(J103=0,0,IF(OR(J103&lt;'FNC-AGRI_prospetto riassuntivo'!$L$27+'FNC-AGRI_prospetto riassuntivo'!$L$30,J103='FNC-AGRI_prospetto riassuntivo'!$L$27+'FNC-AGRI_prospetto riassuntivo'!$L$30),1,0))</f>
        <v>1</v>
      </c>
    </row>
    <row r="104" spans="10:17" x14ac:dyDescent="0.25">
      <c r="J104" s="10">
        <f>IF(J103=0,0,IF('FNC-AGRI_prospetto riassuntivo'!$L$27+'FNC-AGRI_prospetto riassuntivo'!$L$30&gt;J103,J103+1,0))</f>
        <v>114</v>
      </c>
      <c r="K104" s="11">
        <f>O103*'FNC-AGRI_prospetto riassuntivo'!$L$32*Q104</f>
        <v>7.5100528736997516</v>
      </c>
      <c r="L104" s="11">
        <f t="shared" si="8"/>
        <v>640.50737011801482</v>
      </c>
      <c r="M104" s="11">
        <f t="shared" si="9"/>
        <v>648.01742299171462</v>
      </c>
      <c r="N104" s="12">
        <f t="shared" si="10"/>
        <v>60134.475645898165</v>
      </c>
      <c r="O104" s="11">
        <f>('FNC-AGRI_prospetto riassuntivo'!$L$19-N104)*Q104</f>
        <v>3865.5243541018353</v>
      </c>
      <c r="P104" s="11">
        <f>K104/(1+SUM('FNC-AGRI_prospetto riassuntivo'!$L$33:$L$34)/'FNC-AGRI_prospetto riassuntivo'!$L$28)^J104</f>
        <v>5.2821658622552805</v>
      </c>
      <c r="Q104">
        <f>IF(J104=0,0,IF(OR(J104&lt;'FNC-AGRI_prospetto riassuntivo'!$L$27+'FNC-AGRI_prospetto riassuntivo'!$L$30,J104='FNC-AGRI_prospetto riassuntivo'!$L$27+'FNC-AGRI_prospetto riassuntivo'!$L$30),1,0))</f>
        <v>1</v>
      </c>
    </row>
    <row r="105" spans="10:17" x14ac:dyDescent="0.25">
      <c r="J105" s="10">
        <f>IF(J104=0,0,IF('FNC-AGRI_prospetto riassuntivo'!$L$27+'FNC-AGRI_prospetto riassuntivo'!$L$30&gt;J104,J104+1,0))</f>
        <v>115</v>
      </c>
      <c r="K105" s="11">
        <f>O104*'FNC-AGRI_prospetto riassuntivo'!$L$32*Q105</f>
        <v>6.4425405901697257</v>
      </c>
      <c r="L105" s="11">
        <f t="shared" si="8"/>
        <v>641.57488240154487</v>
      </c>
      <c r="M105" s="11">
        <f t="shared" si="9"/>
        <v>648.01742299171462</v>
      </c>
      <c r="N105" s="12">
        <f t="shared" si="10"/>
        <v>60776.050528299711</v>
      </c>
      <c r="O105" s="11">
        <f>('FNC-AGRI_prospetto riassuntivo'!$L$19-N105)*Q105</f>
        <v>3223.949471700289</v>
      </c>
      <c r="P105" s="11">
        <f>K105/(1+SUM('FNC-AGRI_prospetto riassuntivo'!$L$33:$L$34)/'FNC-AGRI_prospetto riassuntivo'!$L$28)^J105</f>
        <v>4.5173691377160834</v>
      </c>
      <c r="Q105">
        <f>IF(J105=0,0,IF(OR(J105&lt;'FNC-AGRI_prospetto riassuntivo'!$L$27+'FNC-AGRI_prospetto riassuntivo'!$L$30,J105='FNC-AGRI_prospetto riassuntivo'!$L$27+'FNC-AGRI_prospetto riassuntivo'!$L$30),1,0))</f>
        <v>1</v>
      </c>
    </row>
    <row r="106" spans="10:17" x14ac:dyDescent="0.25">
      <c r="J106" s="10">
        <f>IF(J105=0,0,IF('FNC-AGRI_prospetto riassuntivo'!$L$27+'FNC-AGRI_prospetto riassuntivo'!$L$30&gt;J105,J105+1,0))</f>
        <v>116</v>
      </c>
      <c r="K106" s="11">
        <f>O105*'FNC-AGRI_prospetto riassuntivo'!$L$32*Q106</f>
        <v>5.3732491195004819</v>
      </c>
      <c r="L106" s="11">
        <f t="shared" si="8"/>
        <v>642.6441738722142</v>
      </c>
      <c r="M106" s="11">
        <f t="shared" si="9"/>
        <v>648.01742299171462</v>
      </c>
      <c r="N106" s="12">
        <f t="shared" si="10"/>
        <v>61418.694702171924</v>
      </c>
      <c r="O106" s="11">
        <f>('FNC-AGRI_prospetto riassuntivo'!$L$19-N106)*Q106</f>
        <v>2581.3052978280757</v>
      </c>
      <c r="P106" s="11">
        <f>K106/(1+SUM('FNC-AGRI_prospetto riassuntivo'!$L$33:$L$34)/'FNC-AGRI_prospetto riassuntivo'!$L$28)^J106</f>
        <v>3.7559929703101127</v>
      </c>
      <c r="Q106">
        <f>IF(J106=0,0,IF(OR(J106&lt;'FNC-AGRI_prospetto riassuntivo'!$L$27+'FNC-AGRI_prospetto riassuntivo'!$L$30,J106='FNC-AGRI_prospetto riassuntivo'!$L$27+'FNC-AGRI_prospetto riassuntivo'!$L$30),1,0))</f>
        <v>1</v>
      </c>
    </row>
    <row r="107" spans="10:17" x14ac:dyDescent="0.25">
      <c r="J107" s="10">
        <f>IF(J106=0,0,IF('FNC-AGRI_prospetto riassuntivo'!$L$27+'FNC-AGRI_prospetto riassuntivo'!$L$30&gt;J106,J106+1,0))</f>
        <v>117</v>
      </c>
      <c r="K107" s="11">
        <f>O106*'FNC-AGRI_prospetto riassuntivo'!$L$32*Q107</f>
        <v>4.3021754963801264</v>
      </c>
      <c r="L107" s="11">
        <f t="shared" si="8"/>
        <v>643.71524749533455</v>
      </c>
      <c r="M107" s="11">
        <f t="shared" si="9"/>
        <v>648.01742299171462</v>
      </c>
      <c r="N107" s="12">
        <f t="shared" si="10"/>
        <v>62062.409949667257</v>
      </c>
      <c r="O107" s="11">
        <f>('FNC-AGRI_prospetto riassuntivo'!$L$19-N107)*Q107</f>
        <v>1937.590050332743</v>
      </c>
      <c r="P107" s="11">
        <f>K107/(1+SUM('FNC-AGRI_prospetto riassuntivo'!$L$33:$L$34)/'FNC-AGRI_prospetto riassuntivo'!$L$28)^J107</f>
        <v>2.9980253068081453</v>
      </c>
      <c r="Q107">
        <f>IF(J107=0,0,IF(OR(J107&lt;'FNC-AGRI_prospetto riassuntivo'!$L$27+'FNC-AGRI_prospetto riassuntivo'!$L$30,J107='FNC-AGRI_prospetto riassuntivo'!$L$27+'FNC-AGRI_prospetto riassuntivo'!$L$30),1,0))</f>
        <v>1</v>
      </c>
    </row>
    <row r="108" spans="10:17" x14ac:dyDescent="0.25">
      <c r="J108" s="10">
        <f>IF(J107=0,0,IF('FNC-AGRI_prospetto riassuntivo'!$L$27+'FNC-AGRI_prospetto riassuntivo'!$L$30&gt;J107,J107+1,0))</f>
        <v>118</v>
      </c>
      <c r="K108" s="11">
        <f>O107*'FNC-AGRI_prospetto riassuntivo'!$L$32*Q108</f>
        <v>3.2293167505545717</v>
      </c>
      <c r="L108" s="11">
        <f t="shared" si="8"/>
        <v>644.78810624116011</v>
      </c>
      <c r="M108" s="11">
        <f t="shared" si="9"/>
        <v>648.01742299171462</v>
      </c>
      <c r="N108" s="12">
        <f t="shared" si="10"/>
        <v>62707.198055908419</v>
      </c>
      <c r="O108" s="11">
        <f>('FNC-AGRI_prospetto riassuntivo'!$L$19-N108)*Q108</f>
        <v>1292.8019440915814</v>
      </c>
      <c r="P108" s="11">
        <f>K108/(1+SUM('FNC-AGRI_prospetto riassuntivo'!$L$33:$L$34)/'FNC-AGRI_prospetto riassuntivo'!$L$28)^J108</f>
        <v>2.243454133276638</v>
      </c>
      <c r="Q108">
        <f>IF(J108=0,0,IF(OR(J108&lt;'FNC-AGRI_prospetto riassuntivo'!$L$27+'FNC-AGRI_prospetto riassuntivo'!$L$30,J108='FNC-AGRI_prospetto riassuntivo'!$L$27+'FNC-AGRI_prospetto riassuntivo'!$L$30),1,0))</f>
        <v>1</v>
      </c>
    </row>
    <row r="109" spans="10:17" x14ac:dyDescent="0.25">
      <c r="J109" s="10">
        <f>IF(J108=0,0,IF('FNC-AGRI_prospetto riassuntivo'!$L$27+'FNC-AGRI_prospetto riassuntivo'!$L$30&gt;J108,J108+1,0))</f>
        <v>119</v>
      </c>
      <c r="K109" s="11">
        <f>O108*'FNC-AGRI_prospetto riassuntivo'!$L$32*Q109</f>
        <v>2.1546699068193025</v>
      </c>
      <c r="L109" s="11">
        <f t="shared" si="8"/>
        <v>645.8627530848953</v>
      </c>
      <c r="M109" s="11">
        <f t="shared" si="9"/>
        <v>648.01742299171462</v>
      </c>
      <c r="N109" s="12">
        <f t="shared" si="10"/>
        <v>63353.060808993316</v>
      </c>
      <c r="O109" s="11">
        <f>('FNC-AGRI_prospetto riassuntivo'!$L$19-N109)*Q109</f>
        <v>646.93919100668427</v>
      </c>
      <c r="P109" s="11">
        <f>K109/(1+SUM('FNC-AGRI_prospetto riassuntivo'!$L$33:$L$34)/'FNC-AGRI_prospetto riassuntivo'!$L$28)^J109</f>
        <v>1.4922674749535636</v>
      </c>
      <c r="Q109">
        <f>IF(J109=0,0,IF(OR(J109&lt;'FNC-AGRI_prospetto riassuntivo'!$L$27+'FNC-AGRI_prospetto riassuntivo'!$L$30,J109='FNC-AGRI_prospetto riassuntivo'!$L$27+'FNC-AGRI_prospetto riassuntivo'!$L$30),1,0))</f>
        <v>1</v>
      </c>
    </row>
    <row r="110" spans="10:17" x14ac:dyDescent="0.25">
      <c r="J110" s="10">
        <f>IF(J109=0,0,IF('FNC-AGRI_prospetto riassuntivo'!$L$27+'FNC-AGRI_prospetto riassuntivo'!$L$30&gt;J109,J109+1,0))</f>
        <v>120</v>
      </c>
      <c r="K110" s="11">
        <f>O109*'FNC-AGRI_prospetto riassuntivo'!$L$32*Q110</f>
        <v>1.0782319850111406</v>
      </c>
      <c r="L110" s="11">
        <f t="shared" si="8"/>
        <v>646.93919100670348</v>
      </c>
      <c r="M110" s="11">
        <f t="shared" si="9"/>
        <v>648.01742299171462</v>
      </c>
      <c r="N110" s="12">
        <f t="shared" si="10"/>
        <v>64000.000000000022</v>
      </c>
      <c r="O110" s="11">
        <f>('FNC-AGRI_prospetto riassuntivo'!$L$19-N110)*Q110</f>
        <v>-2.1827872842550278E-11</v>
      </c>
      <c r="P110" s="11">
        <f>K110/(1+SUM('FNC-AGRI_prospetto riassuntivo'!$L$33:$L$34)/'FNC-AGRI_prospetto riassuntivo'!$L$28)^J110</f>
        <v>0.74445339612465045</v>
      </c>
      <c r="Q110">
        <f>IF(J110=0,0,IF(OR(J110&lt;'FNC-AGRI_prospetto riassuntivo'!$L$27+'FNC-AGRI_prospetto riassuntivo'!$L$30,J110='FNC-AGRI_prospetto riassuntivo'!$L$27+'FNC-AGRI_prospetto riassuntivo'!$L$30),1,0))</f>
        <v>1</v>
      </c>
    </row>
    <row r="111" spans="10:17" x14ac:dyDescent="0.25">
      <c r="J111" s="10">
        <f>IF(J110=0,0,IF('FNC-AGRI_prospetto riassuntivo'!$L$27+'FNC-AGRI_prospetto riassuntivo'!$L$30&gt;J110,J110+1,0))</f>
        <v>0</v>
      </c>
      <c r="K111" s="11">
        <f>O110*'FNC-AGRI_prospetto riassuntivo'!$L$32*Q111</f>
        <v>0</v>
      </c>
      <c r="L111" s="11">
        <f t="shared" si="8"/>
        <v>0</v>
      </c>
      <c r="M111" s="11">
        <f t="shared" si="9"/>
        <v>0</v>
      </c>
      <c r="N111" s="12">
        <f t="shared" si="10"/>
        <v>0</v>
      </c>
      <c r="O111" s="11">
        <f>('FNC-AGRI_prospetto riassuntivo'!$L$19-N111)*Q111</f>
        <v>0</v>
      </c>
      <c r="P111" s="11">
        <f>K111/(1+SUM('FNC-AGRI_prospetto riassuntivo'!$L$33:$L$34)/'FNC-AGRI_prospetto riassuntivo'!$L$28)^J111</f>
        <v>0</v>
      </c>
      <c r="Q111">
        <f>IF(J111=0,0,IF(OR(J111&lt;'FNC-AGRI_prospetto riassuntivo'!$L$27+'FNC-AGRI_prospetto riassuntivo'!$L$30,J111='FNC-AGRI_prospetto riassuntivo'!$L$27+'FNC-AGRI_prospetto riassuntivo'!$L$30),1,0))</f>
        <v>0</v>
      </c>
    </row>
    <row r="112" spans="10:17" x14ac:dyDescent="0.25">
      <c r="J112" s="10">
        <f>IF(J111=0,0,IF('FNC-AGRI_prospetto riassuntivo'!$L$27+'FNC-AGRI_prospetto riassuntivo'!$L$30&gt;J111,J111+1,0))</f>
        <v>0</v>
      </c>
      <c r="K112" s="11">
        <f>O111*'FNC-AGRI_prospetto riassuntivo'!$L$32*Q112</f>
        <v>0</v>
      </c>
      <c r="L112" s="11">
        <f t="shared" si="8"/>
        <v>0</v>
      </c>
      <c r="M112" s="11">
        <f t="shared" si="9"/>
        <v>0</v>
      </c>
      <c r="N112" s="12">
        <f t="shared" si="10"/>
        <v>0</v>
      </c>
      <c r="O112" s="11">
        <f>('FNC-AGRI_prospetto riassuntivo'!$L$19-N112)*Q112</f>
        <v>0</v>
      </c>
      <c r="P112" s="11">
        <f>K112/(1+SUM('FNC-AGRI_prospetto riassuntivo'!$L$33:$L$34)/'FNC-AGRI_prospetto riassuntivo'!$L$28)^J112</f>
        <v>0</v>
      </c>
      <c r="Q112">
        <f>IF(J112=0,0,IF(OR(J112&lt;'FNC-AGRI_prospetto riassuntivo'!$L$27+'FNC-AGRI_prospetto riassuntivo'!$L$30,J112='FNC-AGRI_prospetto riassuntivo'!$L$27+'FNC-AGRI_prospetto riassuntivo'!$L$30),1,0))</f>
        <v>0</v>
      </c>
    </row>
    <row r="113" spans="10:17" x14ac:dyDescent="0.25">
      <c r="J113" s="10">
        <f>IF(J112=0,0,IF('FNC-AGRI_prospetto riassuntivo'!$L$27+'FNC-AGRI_prospetto riassuntivo'!$L$30&gt;J112,J112+1,0))</f>
        <v>0</v>
      </c>
      <c r="K113" s="11">
        <f>O112*'FNC-AGRI_prospetto riassuntivo'!$L$32*Q113</f>
        <v>0</v>
      </c>
      <c r="L113" s="11">
        <f t="shared" si="8"/>
        <v>0</v>
      </c>
      <c r="M113" s="11">
        <f t="shared" si="9"/>
        <v>0</v>
      </c>
      <c r="N113" s="12">
        <f t="shared" si="10"/>
        <v>0</v>
      </c>
      <c r="O113" s="11">
        <f>('FNC-AGRI_prospetto riassuntivo'!$L$19-N113)*Q113</f>
        <v>0</v>
      </c>
      <c r="P113" s="11">
        <f>K113/(1+SUM('FNC-AGRI_prospetto riassuntivo'!$L$33:$L$34)/'FNC-AGRI_prospetto riassuntivo'!$L$28)^J113</f>
        <v>0</v>
      </c>
      <c r="Q113">
        <f>IF(J113=0,0,IF(OR(J113&lt;'FNC-AGRI_prospetto riassuntivo'!$L$27+'FNC-AGRI_prospetto riassuntivo'!$L$30,J113='FNC-AGRI_prospetto riassuntivo'!$L$27+'FNC-AGRI_prospetto riassuntivo'!$L$30),1,0))</f>
        <v>0</v>
      </c>
    </row>
    <row r="114" spans="10:17" x14ac:dyDescent="0.25">
      <c r="J114" s="10">
        <f>IF(J113=0,0,IF('FNC-AGRI_prospetto riassuntivo'!$L$27+'FNC-AGRI_prospetto riassuntivo'!$L$30&gt;J113,J113+1,0))</f>
        <v>0</v>
      </c>
      <c r="K114" s="11">
        <f>O113*'FNC-AGRI_prospetto riassuntivo'!$L$32*Q114</f>
        <v>0</v>
      </c>
      <c r="L114" s="11">
        <f t="shared" si="8"/>
        <v>0</v>
      </c>
      <c r="M114" s="11">
        <f t="shared" si="9"/>
        <v>0</v>
      </c>
      <c r="N114" s="12">
        <f t="shared" si="10"/>
        <v>0</v>
      </c>
      <c r="O114" s="11">
        <f>('FNC-AGRI_prospetto riassuntivo'!$L$19-N114)*Q114</f>
        <v>0</v>
      </c>
      <c r="P114" s="11">
        <f>K114/(1+SUM('FNC-AGRI_prospetto riassuntivo'!$L$33:$L$34)/'FNC-AGRI_prospetto riassuntivo'!$L$28)^J114</f>
        <v>0</v>
      </c>
      <c r="Q114">
        <f>IF(J114=0,0,IF(OR(J114&lt;'FNC-AGRI_prospetto riassuntivo'!$L$27+'FNC-AGRI_prospetto riassuntivo'!$L$30,J114='FNC-AGRI_prospetto riassuntivo'!$L$27+'FNC-AGRI_prospetto riassuntivo'!$L$30),1,0))</f>
        <v>0</v>
      </c>
    </row>
    <row r="115" spans="10:17" x14ac:dyDescent="0.25">
      <c r="J115" s="10">
        <f>IF(J114=0,0,IF('FNC-AGRI_prospetto riassuntivo'!$L$27+'FNC-AGRI_prospetto riassuntivo'!$L$30&gt;J114,J114+1,0))</f>
        <v>0</v>
      </c>
      <c r="K115" s="11">
        <f>O114*'FNC-AGRI_prospetto riassuntivo'!$L$32*Q115</f>
        <v>0</v>
      </c>
      <c r="L115" s="11">
        <f t="shared" si="8"/>
        <v>0</v>
      </c>
      <c r="M115" s="11">
        <f t="shared" si="9"/>
        <v>0</v>
      </c>
      <c r="N115" s="12">
        <f t="shared" si="10"/>
        <v>0</v>
      </c>
      <c r="O115" s="11">
        <f>('FNC-AGRI_prospetto riassuntivo'!$L$19-N115)*Q115</f>
        <v>0</v>
      </c>
      <c r="P115" s="11">
        <f>K115/(1+SUM('FNC-AGRI_prospetto riassuntivo'!$L$33:$L$34)/'FNC-AGRI_prospetto riassuntivo'!$L$28)^J115</f>
        <v>0</v>
      </c>
      <c r="Q115">
        <f>IF(J115=0,0,IF(OR(J115&lt;'FNC-AGRI_prospetto riassuntivo'!$L$27+'FNC-AGRI_prospetto riassuntivo'!$L$30,J115='FNC-AGRI_prospetto riassuntivo'!$L$27+'FNC-AGRI_prospetto riassuntivo'!$L$30),1,0))</f>
        <v>0</v>
      </c>
    </row>
    <row r="116" spans="10:17" x14ac:dyDescent="0.25">
      <c r="J116" s="10">
        <f>IF(J115=0,0,IF('FNC-AGRI_prospetto riassuntivo'!$L$27+'FNC-AGRI_prospetto riassuntivo'!$L$30&gt;J115,J115+1,0))</f>
        <v>0</v>
      </c>
      <c r="K116" s="11">
        <f>O115*'FNC-AGRI_prospetto riassuntivo'!$L$32*Q116</f>
        <v>0</v>
      </c>
      <c r="L116" s="11">
        <f t="shared" si="8"/>
        <v>0</v>
      </c>
      <c r="M116" s="11">
        <f t="shared" si="9"/>
        <v>0</v>
      </c>
      <c r="N116" s="12">
        <f t="shared" si="10"/>
        <v>0</v>
      </c>
      <c r="O116" s="11">
        <f>('FNC-AGRI_prospetto riassuntivo'!$L$19-N116)*Q116</f>
        <v>0</v>
      </c>
      <c r="P116" s="11">
        <f>K116/(1+SUM('FNC-AGRI_prospetto riassuntivo'!$L$33:$L$34)/'FNC-AGRI_prospetto riassuntivo'!$L$28)^J116</f>
        <v>0</v>
      </c>
      <c r="Q116">
        <f>IF(J116=0,0,IF(OR(J116&lt;'FNC-AGRI_prospetto riassuntivo'!$L$27+'FNC-AGRI_prospetto riassuntivo'!$L$30,J116='FNC-AGRI_prospetto riassuntivo'!$L$27+'FNC-AGRI_prospetto riassuntivo'!$L$30),1,0))</f>
        <v>0</v>
      </c>
    </row>
    <row r="117" spans="10:17" x14ac:dyDescent="0.25">
      <c r="J117" s="10">
        <f>IF(J116=0,0,IF('FNC-AGRI_prospetto riassuntivo'!$L$27+'FNC-AGRI_prospetto riassuntivo'!$L$30&gt;J116,J116+1,0))</f>
        <v>0</v>
      </c>
      <c r="K117" s="11">
        <f>O116*'FNC-AGRI_prospetto riassuntivo'!$L$32*Q117</f>
        <v>0</v>
      </c>
      <c r="L117" s="11">
        <f t="shared" si="8"/>
        <v>0</v>
      </c>
      <c r="M117" s="11">
        <f t="shared" si="9"/>
        <v>0</v>
      </c>
      <c r="N117" s="12">
        <f t="shared" si="10"/>
        <v>0</v>
      </c>
      <c r="O117" s="11">
        <f>('FNC-AGRI_prospetto riassuntivo'!$L$19-N117)*Q117</f>
        <v>0</v>
      </c>
      <c r="P117" s="11">
        <f>K117/(1+SUM('FNC-AGRI_prospetto riassuntivo'!$L$33:$L$34)/'FNC-AGRI_prospetto riassuntivo'!$L$28)^J117</f>
        <v>0</v>
      </c>
      <c r="Q117">
        <f>IF(J117=0,0,IF(OR(J117&lt;'FNC-AGRI_prospetto riassuntivo'!$L$27+'FNC-AGRI_prospetto riassuntivo'!$L$30,J117='FNC-AGRI_prospetto riassuntivo'!$L$27+'FNC-AGRI_prospetto riassuntivo'!$L$30),1,0))</f>
        <v>0</v>
      </c>
    </row>
    <row r="118" spans="10:17" x14ac:dyDescent="0.25">
      <c r="J118" s="10">
        <f>IF(J117=0,0,IF('FNC-AGRI_prospetto riassuntivo'!$L$27+'FNC-AGRI_prospetto riassuntivo'!$L$30&gt;J117,J117+1,0))</f>
        <v>0</v>
      </c>
      <c r="K118" s="11">
        <f>O117*'FNC-AGRI_prospetto riassuntivo'!$L$32*Q118</f>
        <v>0</v>
      </c>
      <c r="L118" s="11">
        <f t="shared" si="8"/>
        <v>0</v>
      </c>
      <c r="M118" s="11">
        <f t="shared" si="9"/>
        <v>0</v>
      </c>
      <c r="N118" s="12">
        <f t="shared" si="10"/>
        <v>0</v>
      </c>
      <c r="O118" s="11">
        <f>('FNC-AGRI_prospetto riassuntivo'!$L$19-N118)*Q118</f>
        <v>0</v>
      </c>
      <c r="P118" s="11">
        <f>K118/(1+SUM('FNC-AGRI_prospetto riassuntivo'!$L$33:$L$34)/'FNC-AGRI_prospetto riassuntivo'!$L$28)^J118</f>
        <v>0</v>
      </c>
      <c r="Q118">
        <f>IF(J118=0,0,IF(OR(J118&lt;'FNC-AGRI_prospetto riassuntivo'!$L$27+'FNC-AGRI_prospetto riassuntivo'!$L$30,J118='FNC-AGRI_prospetto riassuntivo'!$L$27+'FNC-AGRI_prospetto riassuntivo'!$L$30),1,0))</f>
        <v>0</v>
      </c>
    </row>
    <row r="119" spans="10:17" x14ac:dyDescent="0.25">
      <c r="J119" s="10">
        <f>IF(J118=0,0,IF('FNC-AGRI_prospetto riassuntivo'!$L$27+'FNC-AGRI_prospetto riassuntivo'!$L$30&gt;J118,J118+1,0))</f>
        <v>0</v>
      </c>
      <c r="K119" s="11">
        <f>O118*'FNC-AGRI_prospetto riassuntivo'!$L$32*Q119</f>
        <v>0</v>
      </c>
      <c r="L119" s="11">
        <f t="shared" si="8"/>
        <v>0</v>
      </c>
      <c r="M119" s="11">
        <f t="shared" si="9"/>
        <v>0</v>
      </c>
      <c r="N119" s="12">
        <f t="shared" si="10"/>
        <v>0</v>
      </c>
      <c r="O119" s="11">
        <f>('FNC-AGRI_prospetto riassuntivo'!$L$19-N119)*Q119</f>
        <v>0</v>
      </c>
      <c r="P119" s="11">
        <f>K119/(1+SUM('FNC-AGRI_prospetto riassuntivo'!$L$33:$L$34)/'FNC-AGRI_prospetto riassuntivo'!$L$28)^J119</f>
        <v>0</v>
      </c>
      <c r="Q119">
        <f>IF(J119=0,0,IF(OR(J119&lt;'FNC-AGRI_prospetto riassuntivo'!$L$27+'FNC-AGRI_prospetto riassuntivo'!$L$30,J119='FNC-AGRI_prospetto riassuntivo'!$L$27+'FNC-AGRI_prospetto riassuntivo'!$L$30),1,0))</f>
        <v>0</v>
      </c>
    </row>
    <row r="120" spans="10:17" x14ac:dyDescent="0.25">
      <c r="J120" s="10">
        <f>IF(J119=0,0,IF('FNC-AGRI_prospetto riassuntivo'!$L$27+'FNC-AGRI_prospetto riassuntivo'!$L$30&gt;J119,J119+1,0))</f>
        <v>0</v>
      </c>
      <c r="K120" s="11">
        <f>O119*'FNC-AGRI_prospetto riassuntivo'!$L$32*Q120</f>
        <v>0</v>
      </c>
      <c r="L120" s="11">
        <f t="shared" si="8"/>
        <v>0</v>
      </c>
      <c r="M120" s="11">
        <f t="shared" si="9"/>
        <v>0</v>
      </c>
      <c r="N120" s="12">
        <f t="shared" si="10"/>
        <v>0</v>
      </c>
      <c r="O120" s="11">
        <f>('FNC-AGRI_prospetto riassuntivo'!$L$19-N120)*Q120</f>
        <v>0</v>
      </c>
      <c r="P120" s="11">
        <f>K120/(1+SUM('FNC-AGRI_prospetto riassuntivo'!$L$33:$L$34)/'FNC-AGRI_prospetto riassuntivo'!$L$28)^J120</f>
        <v>0</v>
      </c>
      <c r="Q120">
        <f>IF(J120=0,0,IF(OR(J120&lt;'FNC-AGRI_prospetto riassuntivo'!$L$27+'FNC-AGRI_prospetto riassuntivo'!$L$30,J120='FNC-AGRI_prospetto riassuntivo'!$L$27+'FNC-AGRI_prospetto riassuntivo'!$L$30),1,0))</f>
        <v>0</v>
      </c>
    </row>
    <row r="121" spans="10:17" x14ac:dyDescent="0.25">
      <c r="J121" s="10">
        <f>IF(J120=0,0,IF('FNC-AGRI_prospetto riassuntivo'!$L$27+'FNC-AGRI_prospetto riassuntivo'!$L$30&gt;J120,J120+1,0))</f>
        <v>0</v>
      </c>
      <c r="K121" s="11">
        <f>O120*'FNC-AGRI_prospetto riassuntivo'!$L$32*Q121</f>
        <v>0</v>
      </c>
      <c r="L121" s="11">
        <f t="shared" si="8"/>
        <v>0</v>
      </c>
      <c r="M121" s="11">
        <f t="shared" si="9"/>
        <v>0</v>
      </c>
      <c r="N121" s="12">
        <f t="shared" si="10"/>
        <v>0</v>
      </c>
      <c r="O121" s="11">
        <f>('FNC-AGRI_prospetto riassuntivo'!$L$19-N121)*Q121</f>
        <v>0</v>
      </c>
      <c r="P121" s="11">
        <f>K121/(1+SUM('FNC-AGRI_prospetto riassuntivo'!$L$33:$L$34)/'FNC-AGRI_prospetto riassuntivo'!$L$28)^J121</f>
        <v>0</v>
      </c>
      <c r="Q121">
        <f>IF(J121=0,0,IF(OR(J121&lt;'FNC-AGRI_prospetto riassuntivo'!$L$27+'FNC-AGRI_prospetto riassuntivo'!$L$30,J121='FNC-AGRI_prospetto riassuntivo'!$L$27+'FNC-AGRI_prospetto riassuntivo'!$L$30),1,0))</f>
        <v>0</v>
      </c>
    </row>
    <row r="122" spans="10:17" x14ac:dyDescent="0.25">
      <c r="J122" s="10">
        <f>IF(J121=0,0,IF('FNC-AGRI_prospetto riassuntivo'!$L$27+'FNC-AGRI_prospetto riassuntivo'!$L$30&gt;J121,J121+1,0))</f>
        <v>0</v>
      </c>
      <c r="K122" s="11">
        <f>O121*'FNC-AGRI_prospetto riassuntivo'!$L$32*Q122</f>
        <v>0</v>
      </c>
      <c r="L122" s="11">
        <f t="shared" si="8"/>
        <v>0</v>
      </c>
      <c r="M122" s="11">
        <f t="shared" si="9"/>
        <v>0</v>
      </c>
      <c r="N122" s="12">
        <f t="shared" si="10"/>
        <v>0</v>
      </c>
      <c r="O122" s="11">
        <f>('FNC-AGRI_prospetto riassuntivo'!$L$19-N122)*Q122</f>
        <v>0</v>
      </c>
      <c r="P122" s="11">
        <f>K122/(1+SUM('FNC-AGRI_prospetto riassuntivo'!$L$33:$L$34)/'FNC-AGRI_prospetto riassuntivo'!$L$28)^J122</f>
        <v>0</v>
      </c>
      <c r="Q122">
        <f>IF(J122=0,0,IF(OR(J122&lt;'FNC-AGRI_prospetto riassuntivo'!$L$27+'FNC-AGRI_prospetto riassuntivo'!$L$30,J122='FNC-AGRI_prospetto riassuntivo'!$L$27+'FNC-AGRI_prospetto riassuntivo'!$L$30),1,0))</f>
        <v>0</v>
      </c>
    </row>
  </sheetData>
  <sheetProtection algorithmName="SHA-512" hashValue="8amamPqmmdIvErGGRgqkYE4a/e+Z6/8dhdsAP48udbTaoMk4cBcSrQqnyMOQ0AZm+LjI4254xzQf1yK9TphbDw==" saltValue="8NJnCxDY2i863/yPecRJVQ==" spinCount="100000" sheet="1" objects="1" scenarios="1"/>
  <mergeCells count="2">
    <mergeCell ref="A1:G1"/>
    <mergeCell ref="J1:P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3D6DB-4EC2-40BA-A329-87F8D7430CD8}">
  <dimension ref="A1:H85"/>
  <sheetViews>
    <sheetView workbookViewId="0">
      <selection activeCell="C21" sqref="C21"/>
    </sheetView>
  </sheetViews>
  <sheetFormatPr defaultRowHeight="13.2" x14ac:dyDescent="0.25"/>
  <cols>
    <col min="1" max="1" width="38.44140625" bestFit="1" customWidth="1"/>
    <col min="2" max="2" width="19" bestFit="1" customWidth="1"/>
    <col min="3" max="3" width="11.109375" bestFit="1" customWidth="1"/>
    <col min="4" max="4" width="18.6640625" customWidth="1"/>
    <col min="5" max="5" width="12.109375" bestFit="1" customWidth="1"/>
  </cols>
  <sheetData>
    <row r="1" spans="1:8" ht="22.2" thickTop="1" thickBot="1" x14ac:dyDescent="0.45">
      <c r="A1" s="102"/>
      <c r="B1" s="103"/>
      <c r="C1" s="104" t="s">
        <v>50</v>
      </c>
      <c r="D1" s="105">
        <f>B85</f>
        <v>6070.4299251631901</v>
      </c>
      <c r="E1" s="106"/>
      <c r="F1" s="106"/>
      <c r="G1" s="3"/>
      <c r="H1" s="3"/>
    </row>
    <row r="2" spans="1:8" ht="13.8" thickTop="1" x14ac:dyDescent="0.25">
      <c r="A2" s="107"/>
      <c r="B2" s="108"/>
      <c r="C2" s="108"/>
      <c r="D2" s="108"/>
      <c r="E2" s="108"/>
      <c r="F2" s="106"/>
      <c r="G2" s="3"/>
      <c r="H2" s="3"/>
    </row>
    <row r="3" spans="1:8" x14ac:dyDescent="0.25">
      <c r="A3" s="109"/>
      <c r="B3" s="106"/>
      <c r="C3" s="106"/>
      <c r="D3" s="106"/>
      <c r="E3" s="106"/>
      <c r="F3" s="106"/>
      <c r="G3" s="3"/>
      <c r="H3" s="3"/>
    </row>
    <row r="4" spans="1:8" x14ac:dyDescent="0.25">
      <c r="A4" s="110" t="s">
        <v>51</v>
      </c>
      <c r="B4" s="111">
        <f>'FNC-AGRI_prospetto riassuntivo'!L38</f>
        <v>1.9300000000000001E-2</v>
      </c>
      <c r="F4" s="112"/>
      <c r="G4" s="3"/>
      <c r="H4" s="3"/>
    </row>
    <row r="5" spans="1:8" x14ac:dyDescent="0.25">
      <c r="A5" s="110" t="s">
        <v>52</v>
      </c>
      <c r="B5" s="113">
        <v>6.0000000000000001E-3</v>
      </c>
      <c r="G5" s="3"/>
      <c r="H5" s="3"/>
    </row>
    <row r="6" spans="1:8" x14ac:dyDescent="0.25">
      <c r="A6" s="110" t="s">
        <v>53</v>
      </c>
      <c r="B6" s="113">
        <v>3.2000000000000002E-3</v>
      </c>
      <c r="D6" s="113"/>
      <c r="G6" s="3"/>
      <c r="H6" s="3"/>
    </row>
    <row r="7" spans="1:8" x14ac:dyDescent="0.25">
      <c r="A7" s="110" t="s">
        <v>54</v>
      </c>
      <c r="B7" s="114">
        <v>0</v>
      </c>
      <c r="D7" s="113"/>
      <c r="G7" s="3"/>
      <c r="H7" s="3"/>
    </row>
    <row r="8" spans="1:8" x14ac:dyDescent="0.25">
      <c r="A8" s="110" t="s">
        <v>55</v>
      </c>
      <c r="B8" s="6">
        <f>'FNC-AGRI_prospetto riassuntivo'!L19</f>
        <v>64000</v>
      </c>
      <c r="E8" s="115"/>
      <c r="G8" s="3"/>
      <c r="H8" s="3"/>
    </row>
    <row r="9" spans="1:8" x14ac:dyDescent="0.25">
      <c r="A9" s="110" t="s">
        <v>56</v>
      </c>
      <c r="B9" s="111">
        <f>80%*'FNC-AGRI_prospetto riassuntivo'!L20</f>
        <v>0.64000000000000012</v>
      </c>
      <c r="G9" s="3"/>
      <c r="H9" s="3"/>
    </row>
    <row r="10" spans="1:8" x14ac:dyDescent="0.25">
      <c r="A10" s="110" t="s">
        <v>57</v>
      </c>
      <c r="B10" s="115">
        <f>+B8*B9</f>
        <v>40960.000000000007</v>
      </c>
      <c r="G10" s="3"/>
      <c r="H10" s="3"/>
    </row>
    <row r="11" spans="1:8" x14ac:dyDescent="0.25">
      <c r="A11" s="110" t="s">
        <v>58</v>
      </c>
      <c r="B11" s="116">
        <f>ROUNDUP('FNC-AGRI_prospetto riassuntivo'!L22/12,0)</f>
        <v>10</v>
      </c>
      <c r="G11" s="3"/>
      <c r="H11" s="3"/>
    </row>
    <row r="12" spans="1:8" x14ac:dyDescent="0.25">
      <c r="A12" s="110" t="s">
        <v>59</v>
      </c>
      <c r="B12" s="7">
        <f>'FNC-AGRI_prospetto riassuntivo'!L33+1%</f>
        <v>3.7100000000000001E-2</v>
      </c>
      <c r="G12" s="3"/>
      <c r="H12" s="3"/>
    </row>
    <row r="13" spans="1:8" x14ac:dyDescent="0.25">
      <c r="A13" s="110"/>
      <c r="G13" s="3"/>
      <c r="H13" s="3"/>
    </row>
    <row r="14" spans="1:8" x14ac:dyDescent="0.25">
      <c r="A14" s="117" t="s">
        <v>60</v>
      </c>
      <c r="B14" s="118">
        <f>-PMT(B12,B11,B8)</f>
        <v>7777.1198781603407</v>
      </c>
      <c r="C14" s="106"/>
      <c r="D14" s="119"/>
      <c r="E14" s="106"/>
      <c r="F14" s="106"/>
      <c r="G14" s="3"/>
      <c r="H14" s="3"/>
    </row>
    <row r="15" spans="1:8" x14ac:dyDescent="0.25">
      <c r="A15" s="117" t="s">
        <v>61</v>
      </c>
      <c r="B15" s="110" t="s">
        <v>62</v>
      </c>
      <c r="C15" s="120" t="s">
        <v>63</v>
      </c>
      <c r="D15" s="121" t="s">
        <v>64</v>
      </c>
      <c r="E15" s="106" t="s">
        <v>65</v>
      </c>
      <c r="G15" s="3"/>
      <c r="H15" s="3"/>
    </row>
    <row r="16" spans="1:8" x14ac:dyDescent="0.25">
      <c r="A16" s="110">
        <v>1</v>
      </c>
      <c r="B16" s="122">
        <f>B8</f>
        <v>64000</v>
      </c>
      <c r="C16" s="115">
        <f t="shared" ref="C16:C45" si="0">B$12*B16</f>
        <v>2374.4</v>
      </c>
      <c r="D16" s="123">
        <f t="shared" ref="D16:D45" si="1">E16-C16</f>
        <v>5402.7198781603402</v>
      </c>
      <c r="E16" s="124">
        <f t="shared" ref="E16:E45" si="2">IF(B$11&gt;=A16,B$14,IF(B$11&lt;A16,0))</f>
        <v>7777.1198781603407</v>
      </c>
      <c r="G16" s="4"/>
      <c r="H16" s="3"/>
    </row>
    <row r="17" spans="1:8" x14ac:dyDescent="0.25">
      <c r="A17" s="110">
        <v>2</v>
      </c>
      <c r="B17" s="122">
        <f t="shared" ref="B17:B46" si="3">B16-D16</f>
        <v>58597.280121839663</v>
      </c>
      <c r="C17" s="115">
        <f t="shared" si="0"/>
        <v>2173.9590925202515</v>
      </c>
      <c r="D17" s="123">
        <f t="shared" si="1"/>
        <v>5603.1607856400897</v>
      </c>
      <c r="E17" s="124">
        <f t="shared" si="2"/>
        <v>7777.1198781603407</v>
      </c>
      <c r="G17" s="4"/>
      <c r="H17" s="3"/>
    </row>
    <row r="18" spans="1:8" x14ac:dyDescent="0.25">
      <c r="A18" s="110">
        <v>3</v>
      </c>
      <c r="B18" s="122">
        <f t="shared" si="3"/>
        <v>52994.119336199576</v>
      </c>
      <c r="C18" s="115">
        <f t="shared" si="0"/>
        <v>1966.0818273730042</v>
      </c>
      <c r="D18" s="123">
        <f t="shared" si="1"/>
        <v>5811.038050787336</v>
      </c>
      <c r="E18" s="124">
        <f t="shared" si="2"/>
        <v>7777.1198781603407</v>
      </c>
      <c r="G18" s="4"/>
      <c r="H18" s="3"/>
    </row>
    <row r="19" spans="1:8" x14ac:dyDescent="0.25">
      <c r="A19" s="110">
        <v>4</v>
      </c>
      <c r="B19" s="122">
        <f t="shared" si="3"/>
        <v>47183.081285412241</v>
      </c>
      <c r="C19" s="115">
        <f t="shared" si="0"/>
        <v>1750.4923156887942</v>
      </c>
      <c r="D19" s="123">
        <f t="shared" si="1"/>
        <v>6026.6275624715463</v>
      </c>
      <c r="E19" s="124">
        <f t="shared" si="2"/>
        <v>7777.1198781603407</v>
      </c>
      <c r="G19" s="4"/>
      <c r="H19" s="3"/>
    </row>
    <row r="20" spans="1:8" x14ac:dyDescent="0.25">
      <c r="A20" s="110">
        <v>5</v>
      </c>
      <c r="B20" s="122">
        <f t="shared" si="3"/>
        <v>41156.453722940692</v>
      </c>
      <c r="C20" s="115">
        <f t="shared" si="0"/>
        <v>1526.9044331210998</v>
      </c>
      <c r="D20" s="123">
        <f t="shared" si="1"/>
        <v>6250.2154450392409</v>
      </c>
      <c r="E20" s="124">
        <f t="shared" si="2"/>
        <v>7777.1198781603407</v>
      </c>
      <c r="G20" s="4"/>
      <c r="H20" s="3"/>
    </row>
    <row r="21" spans="1:8" x14ac:dyDescent="0.25">
      <c r="A21" s="110">
        <v>6</v>
      </c>
      <c r="B21" s="122">
        <f t="shared" si="3"/>
        <v>34906.238277901452</v>
      </c>
      <c r="C21" s="115">
        <f t="shared" si="0"/>
        <v>1295.0214401101439</v>
      </c>
      <c r="D21" s="123">
        <f t="shared" si="1"/>
        <v>6482.0984380501968</v>
      </c>
      <c r="E21" s="124">
        <f t="shared" si="2"/>
        <v>7777.1198781603407</v>
      </c>
      <c r="G21" s="4"/>
      <c r="H21" s="3"/>
    </row>
    <row r="22" spans="1:8" x14ac:dyDescent="0.25">
      <c r="A22" s="110">
        <v>7</v>
      </c>
      <c r="B22" s="122">
        <f t="shared" si="3"/>
        <v>28424.139839851254</v>
      </c>
      <c r="C22" s="115">
        <f t="shared" si="0"/>
        <v>1054.5355880584816</v>
      </c>
      <c r="D22" s="123">
        <f t="shared" si="1"/>
        <v>6722.5842901018586</v>
      </c>
      <c r="E22" s="124">
        <f t="shared" si="2"/>
        <v>7777.1198781603407</v>
      </c>
      <c r="F22" s="124"/>
      <c r="G22" s="3"/>
      <c r="H22" s="3"/>
    </row>
    <row r="23" spans="1:8" x14ac:dyDescent="0.25">
      <c r="A23" s="110">
        <v>8</v>
      </c>
      <c r="B23" s="122">
        <f t="shared" si="3"/>
        <v>21701.555549749395</v>
      </c>
      <c r="C23" s="115">
        <f t="shared" si="0"/>
        <v>805.12771089570253</v>
      </c>
      <c r="D23" s="123">
        <f t="shared" si="1"/>
        <v>6971.9921672646378</v>
      </c>
      <c r="E23" s="124">
        <f t="shared" si="2"/>
        <v>7777.1198781603407</v>
      </c>
      <c r="G23" s="3"/>
      <c r="H23" s="3"/>
    </row>
    <row r="24" spans="1:8" x14ac:dyDescent="0.25">
      <c r="A24" s="110">
        <v>9</v>
      </c>
      <c r="B24" s="122">
        <f t="shared" si="3"/>
        <v>14729.563382484757</v>
      </c>
      <c r="C24" s="115">
        <f t="shared" si="0"/>
        <v>546.46680149018448</v>
      </c>
      <c r="D24" s="123">
        <f t="shared" si="1"/>
        <v>7230.6530766701562</v>
      </c>
      <c r="E24" s="124">
        <f t="shared" si="2"/>
        <v>7777.1198781603407</v>
      </c>
      <c r="G24" s="3"/>
      <c r="H24" s="3"/>
    </row>
    <row r="25" spans="1:8" x14ac:dyDescent="0.25">
      <c r="A25" s="110">
        <v>10</v>
      </c>
      <c r="B25" s="122">
        <f t="shared" si="3"/>
        <v>7498.9103058146011</v>
      </c>
      <c r="C25" s="115">
        <f t="shared" si="0"/>
        <v>278.20957234572171</v>
      </c>
      <c r="D25" s="123">
        <f t="shared" si="1"/>
        <v>7498.9103058146193</v>
      </c>
      <c r="E25" s="124">
        <f t="shared" si="2"/>
        <v>7777.1198781603407</v>
      </c>
      <c r="G25" s="3"/>
      <c r="H25" s="3"/>
    </row>
    <row r="26" spans="1:8" x14ac:dyDescent="0.25">
      <c r="A26" s="110">
        <v>11</v>
      </c>
      <c r="B26" s="122">
        <f t="shared" si="3"/>
        <v>-1.8189894035458565E-11</v>
      </c>
      <c r="C26" s="115">
        <f t="shared" si="0"/>
        <v>-6.7484506871551275E-13</v>
      </c>
      <c r="D26" s="123">
        <f t="shared" si="1"/>
        <v>6.7484506871551275E-13</v>
      </c>
      <c r="E26" s="124">
        <f t="shared" si="2"/>
        <v>0</v>
      </c>
      <c r="G26" s="3"/>
      <c r="H26" s="3"/>
    </row>
    <row r="27" spans="1:8" x14ac:dyDescent="0.25">
      <c r="A27" s="110">
        <v>12</v>
      </c>
      <c r="B27" s="122">
        <f t="shared" si="3"/>
        <v>-1.8864739104174078E-11</v>
      </c>
      <c r="C27" s="115">
        <f t="shared" si="0"/>
        <v>-6.9988182076485837E-13</v>
      </c>
      <c r="D27" s="123">
        <f t="shared" si="1"/>
        <v>6.9988182076485837E-13</v>
      </c>
      <c r="E27" s="124">
        <f t="shared" si="2"/>
        <v>0</v>
      </c>
      <c r="G27" s="3"/>
      <c r="H27" s="3"/>
    </row>
    <row r="28" spans="1:8" x14ac:dyDescent="0.25">
      <c r="A28" s="110">
        <v>13</v>
      </c>
      <c r="B28" s="122">
        <f t="shared" si="3"/>
        <v>-1.9564620924938936E-11</v>
      </c>
      <c r="C28" s="115">
        <f t="shared" si="0"/>
        <v>-7.2584743631523454E-13</v>
      </c>
      <c r="D28" s="123">
        <f t="shared" si="1"/>
        <v>7.2584743631523454E-13</v>
      </c>
      <c r="E28" s="124">
        <f t="shared" si="2"/>
        <v>0</v>
      </c>
      <c r="G28" s="3"/>
      <c r="H28" s="3"/>
    </row>
    <row r="29" spans="1:8" x14ac:dyDescent="0.25">
      <c r="A29" s="110">
        <v>14</v>
      </c>
      <c r="B29" s="122">
        <f t="shared" si="3"/>
        <v>-2.0290468361254169E-11</v>
      </c>
      <c r="C29" s="115">
        <f t="shared" si="0"/>
        <v>-7.5277637620252975E-13</v>
      </c>
      <c r="D29" s="123">
        <f t="shared" si="1"/>
        <v>7.5277637620252975E-13</v>
      </c>
      <c r="E29" s="124">
        <f t="shared" si="2"/>
        <v>0</v>
      </c>
      <c r="F29" s="123"/>
      <c r="G29" s="3"/>
      <c r="H29" s="3"/>
    </row>
    <row r="30" spans="1:8" x14ac:dyDescent="0.25">
      <c r="A30" s="110">
        <v>15</v>
      </c>
      <c r="B30" s="122">
        <f t="shared" si="3"/>
        <v>-2.1043244737456698E-11</v>
      </c>
      <c r="C30" s="115">
        <f t="shared" si="0"/>
        <v>-7.8070437975964349E-13</v>
      </c>
      <c r="D30" s="123">
        <f t="shared" si="1"/>
        <v>7.8070437975964349E-13</v>
      </c>
      <c r="E30" s="124">
        <f t="shared" si="2"/>
        <v>0</v>
      </c>
      <c r="G30" s="3"/>
      <c r="H30" s="3"/>
    </row>
    <row r="31" spans="1:8" x14ac:dyDescent="0.25">
      <c r="A31" s="110">
        <v>16</v>
      </c>
      <c r="B31" s="122">
        <f t="shared" si="3"/>
        <v>-2.182394911721634E-11</v>
      </c>
      <c r="C31" s="115">
        <f t="shared" si="0"/>
        <v>-8.0966851224872619E-13</v>
      </c>
      <c r="D31" s="123">
        <f t="shared" si="1"/>
        <v>8.0966851224872619E-13</v>
      </c>
      <c r="E31" s="124">
        <f t="shared" si="2"/>
        <v>0</v>
      </c>
      <c r="G31" s="3"/>
      <c r="H31" s="3"/>
    </row>
    <row r="32" spans="1:8" x14ac:dyDescent="0.25">
      <c r="A32" s="110">
        <v>17</v>
      </c>
      <c r="B32" s="122">
        <f t="shared" si="3"/>
        <v>-2.2633617629465067E-11</v>
      </c>
      <c r="C32" s="115">
        <f t="shared" si="0"/>
        <v>-8.3970721405315395E-13</v>
      </c>
      <c r="D32" s="123">
        <f t="shared" si="1"/>
        <v>8.3970721405315395E-13</v>
      </c>
      <c r="E32" s="124">
        <f t="shared" si="2"/>
        <v>0</v>
      </c>
      <c r="G32" s="3"/>
      <c r="H32" s="5"/>
    </row>
    <row r="33" spans="1:8" x14ac:dyDescent="0.25">
      <c r="A33" s="110">
        <v>18</v>
      </c>
      <c r="B33" s="122">
        <f t="shared" si="3"/>
        <v>-2.3473324843518222E-11</v>
      </c>
      <c r="C33" s="115">
        <f t="shared" si="0"/>
        <v>-8.7086035169452602E-13</v>
      </c>
      <c r="D33" s="123">
        <f t="shared" si="1"/>
        <v>8.7086035169452602E-13</v>
      </c>
      <c r="E33" s="124">
        <f t="shared" si="2"/>
        <v>0</v>
      </c>
      <c r="G33" s="3"/>
      <c r="H33" s="3"/>
    </row>
    <row r="34" spans="1:8" x14ac:dyDescent="0.25">
      <c r="A34" s="110">
        <v>19</v>
      </c>
      <c r="B34" s="122">
        <f t="shared" si="3"/>
        <v>-2.4344185195212746E-11</v>
      </c>
      <c r="C34" s="115">
        <f t="shared" si="0"/>
        <v>-9.031692707423929E-13</v>
      </c>
      <c r="D34" s="123">
        <f t="shared" si="1"/>
        <v>9.031692707423929E-13</v>
      </c>
      <c r="E34" s="124">
        <f t="shared" si="2"/>
        <v>0</v>
      </c>
      <c r="G34" s="3"/>
      <c r="H34" s="3"/>
    </row>
    <row r="35" spans="1:8" x14ac:dyDescent="0.25">
      <c r="A35" s="110">
        <v>20</v>
      </c>
      <c r="B35" s="122">
        <f t="shared" si="3"/>
        <v>-2.5247354465955141E-11</v>
      </c>
      <c r="C35" s="115">
        <f t="shared" si="0"/>
        <v>-9.3667685068693574E-13</v>
      </c>
      <c r="D35" s="123">
        <f t="shared" si="1"/>
        <v>9.3667685068693574E-13</v>
      </c>
      <c r="E35" s="124">
        <f t="shared" si="2"/>
        <v>0</v>
      </c>
      <c r="G35" s="3"/>
      <c r="H35" s="3"/>
    </row>
    <row r="36" spans="1:8" x14ac:dyDescent="0.25">
      <c r="A36" s="110">
        <v>21</v>
      </c>
      <c r="B36" s="122">
        <f t="shared" si="3"/>
        <v>-2.6184031316642077E-11</v>
      </c>
      <c r="C36" s="115">
        <f t="shared" si="0"/>
        <v>-9.7142756184742118E-13</v>
      </c>
      <c r="D36" s="123">
        <f t="shared" si="1"/>
        <v>9.7142756184742118E-13</v>
      </c>
      <c r="E36" s="124">
        <f t="shared" si="2"/>
        <v>0</v>
      </c>
      <c r="G36" s="3"/>
      <c r="H36" s="3"/>
    </row>
    <row r="37" spans="1:8" x14ac:dyDescent="0.25">
      <c r="A37" s="110">
        <v>22</v>
      </c>
      <c r="B37" s="122">
        <f t="shared" si="3"/>
        <v>-2.7155458878489497E-11</v>
      </c>
      <c r="C37" s="115">
        <f t="shared" si="0"/>
        <v>-1.0074675243919604E-12</v>
      </c>
      <c r="D37" s="123">
        <f t="shared" si="1"/>
        <v>1.0074675243919604E-12</v>
      </c>
      <c r="E37" s="124">
        <f t="shared" si="2"/>
        <v>0</v>
      </c>
      <c r="G37" s="3"/>
      <c r="H37" s="3"/>
    </row>
    <row r="38" spans="1:8" x14ac:dyDescent="0.25">
      <c r="A38" s="110">
        <v>23</v>
      </c>
      <c r="B38" s="122">
        <f t="shared" si="3"/>
        <v>-2.8162926402881457E-11</v>
      </c>
      <c r="C38" s="115">
        <f t="shared" si="0"/>
        <v>-1.0448445695469021E-12</v>
      </c>
      <c r="D38" s="123">
        <f t="shared" si="1"/>
        <v>1.0448445695469021E-12</v>
      </c>
      <c r="E38" s="124">
        <f t="shared" si="2"/>
        <v>0</v>
      </c>
      <c r="G38" s="3"/>
      <c r="H38" s="3"/>
    </row>
    <row r="39" spans="1:8" x14ac:dyDescent="0.25">
      <c r="A39" s="110">
        <v>24</v>
      </c>
      <c r="B39" s="122">
        <f t="shared" si="3"/>
        <v>-2.9207770972428359E-11</v>
      </c>
      <c r="C39" s="115">
        <f t="shared" si="0"/>
        <v>-1.0836083030770922E-12</v>
      </c>
      <c r="D39" s="123">
        <f t="shared" si="1"/>
        <v>1.0836083030770922E-12</v>
      </c>
      <c r="E39" s="124">
        <f t="shared" si="2"/>
        <v>0</v>
      </c>
      <c r="G39" s="3"/>
      <c r="H39" s="3"/>
    </row>
    <row r="40" spans="1:8" x14ac:dyDescent="0.25">
      <c r="A40" s="110">
        <v>25</v>
      </c>
      <c r="B40" s="122">
        <f t="shared" si="3"/>
        <v>-3.0291379275505448E-11</v>
      </c>
      <c r="C40" s="115">
        <f t="shared" si="0"/>
        <v>-1.1238101711212521E-12</v>
      </c>
      <c r="D40" s="123">
        <f t="shared" si="1"/>
        <v>1.1238101711212521E-12</v>
      </c>
      <c r="E40" s="124">
        <f t="shared" si="2"/>
        <v>0</v>
      </c>
      <c r="G40" s="3"/>
      <c r="H40" s="3"/>
    </row>
    <row r="41" spans="1:8" x14ac:dyDescent="0.25">
      <c r="A41" s="110">
        <v>26</v>
      </c>
      <c r="B41" s="122">
        <f t="shared" si="3"/>
        <v>-3.1415189446626699E-11</v>
      </c>
      <c r="C41" s="115">
        <f t="shared" si="0"/>
        <v>-1.1655035284698507E-12</v>
      </c>
      <c r="D41" s="123">
        <f t="shared" si="1"/>
        <v>1.1655035284698507E-12</v>
      </c>
      <c r="E41" s="124">
        <f t="shared" si="2"/>
        <v>0</v>
      </c>
      <c r="G41" s="3"/>
      <c r="H41" s="3"/>
    </row>
    <row r="42" spans="1:8" x14ac:dyDescent="0.25">
      <c r="A42" s="110">
        <v>27</v>
      </c>
      <c r="B42" s="122">
        <f t="shared" si="3"/>
        <v>-3.258069297509655E-11</v>
      </c>
      <c r="C42" s="115">
        <f t="shared" si="0"/>
        <v>-1.208743709376082E-12</v>
      </c>
      <c r="D42" s="123">
        <f t="shared" si="1"/>
        <v>1.208743709376082E-12</v>
      </c>
      <c r="E42" s="124">
        <f t="shared" si="2"/>
        <v>0</v>
      </c>
      <c r="G42" s="3"/>
      <c r="H42" s="3"/>
    </row>
    <row r="43" spans="1:8" x14ac:dyDescent="0.25">
      <c r="A43" s="110">
        <v>28</v>
      </c>
      <c r="B43" s="122">
        <f t="shared" si="3"/>
        <v>-3.3789436684472632E-11</v>
      </c>
      <c r="C43" s="115">
        <f t="shared" si="0"/>
        <v>-1.2535881009939347E-12</v>
      </c>
      <c r="D43" s="123">
        <f t="shared" si="1"/>
        <v>1.2535881009939347E-12</v>
      </c>
      <c r="E43" s="124">
        <f t="shared" si="2"/>
        <v>0</v>
      </c>
      <c r="G43" s="3"/>
      <c r="H43" s="3"/>
    </row>
    <row r="44" spans="1:8" x14ac:dyDescent="0.25">
      <c r="A44" s="110">
        <v>29</v>
      </c>
      <c r="B44" s="122">
        <f t="shared" si="3"/>
        <v>-3.504302478546657E-11</v>
      </c>
      <c r="C44" s="115">
        <f t="shared" si="0"/>
        <v>-1.3000962195408098E-12</v>
      </c>
      <c r="D44" s="123">
        <f t="shared" si="1"/>
        <v>1.3000962195408098E-12</v>
      </c>
      <c r="E44" s="124">
        <f t="shared" si="2"/>
        <v>0</v>
      </c>
      <c r="G44" s="3"/>
      <c r="H44" s="3"/>
    </row>
    <row r="45" spans="1:8" x14ac:dyDescent="0.25">
      <c r="A45" s="110">
        <v>30</v>
      </c>
      <c r="B45" s="122">
        <f t="shared" si="3"/>
        <v>-3.6343121005007382E-11</v>
      </c>
      <c r="C45" s="115">
        <f t="shared" si="0"/>
        <v>-1.3483297892857739E-12</v>
      </c>
      <c r="D45" s="123">
        <f t="shared" si="1"/>
        <v>1.3483297892857739E-12</v>
      </c>
      <c r="E45" s="124">
        <f t="shared" si="2"/>
        <v>0</v>
      </c>
      <c r="G45" s="3"/>
      <c r="H45" s="3"/>
    </row>
    <row r="46" spans="1:8" x14ac:dyDescent="0.25">
      <c r="A46" s="109"/>
      <c r="B46" s="122">
        <f t="shared" si="3"/>
        <v>-3.7691450794293157E-11</v>
      </c>
      <c r="C46" s="115"/>
      <c r="D46" s="123"/>
      <c r="E46" s="124"/>
      <c r="G46" s="3"/>
      <c r="H46" s="3"/>
    </row>
    <row r="47" spans="1:8" x14ac:dyDescent="0.25">
      <c r="A47" s="109"/>
      <c r="G47" s="3"/>
      <c r="H47" s="3"/>
    </row>
    <row r="48" spans="1:8" ht="15.6" x14ac:dyDescent="0.35">
      <c r="A48" s="117" t="s">
        <v>61</v>
      </c>
      <c r="B48" s="110" t="s">
        <v>66</v>
      </c>
      <c r="G48" s="3"/>
      <c r="H48" s="3"/>
    </row>
    <row r="49" spans="1:8" x14ac:dyDescent="0.25">
      <c r="A49" s="110">
        <v>1</v>
      </c>
      <c r="B49" s="125">
        <f t="shared" ref="B49:B79" si="4">B16*B$9*(B$4+B$5+B$6)</f>
        <v>1167.3600000000004</v>
      </c>
      <c r="G49" s="3"/>
      <c r="H49" s="3"/>
    </row>
    <row r="50" spans="1:8" x14ac:dyDescent="0.25">
      <c r="A50" s="110">
        <v>2</v>
      </c>
      <c r="B50" s="125">
        <f t="shared" si="4"/>
        <v>1068.8143894223558</v>
      </c>
      <c r="G50" s="3"/>
      <c r="H50" s="3"/>
    </row>
    <row r="51" spans="1:8" x14ac:dyDescent="0.25">
      <c r="A51" s="110">
        <v>3</v>
      </c>
      <c r="B51" s="125">
        <f t="shared" si="4"/>
        <v>966.61273669228058</v>
      </c>
      <c r="C51" s="117"/>
      <c r="G51" s="3"/>
      <c r="H51" s="3"/>
    </row>
    <row r="52" spans="1:8" x14ac:dyDescent="0.25">
      <c r="A52" s="110">
        <v>4</v>
      </c>
      <c r="B52" s="125">
        <f t="shared" si="4"/>
        <v>860.61940264591954</v>
      </c>
      <c r="G52" s="3"/>
      <c r="H52" s="3"/>
    </row>
    <row r="53" spans="1:8" x14ac:dyDescent="0.25">
      <c r="A53" s="110">
        <v>5</v>
      </c>
      <c r="B53" s="125">
        <f t="shared" si="4"/>
        <v>750.69371590643846</v>
      </c>
      <c r="G53" s="3"/>
      <c r="H53" s="3"/>
    </row>
    <row r="54" spans="1:8" x14ac:dyDescent="0.25">
      <c r="A54" s="110">
        <v>6</v>
      </c>
      <c r="B54" s="125">
        <f t="shared" si="4"/>
        <v>636.68978618892265</v>
      </c>
      <c r="G54" s="3"/>
      <c r="H54" s="3"/>
    </row>
    <row r="55" spans="1:8" x14ac:dyDescent="0.25">
      <c r="A55" s="110">
        <v>7</v>
      </c>
      <c r="B55" s="125">
        <f t="shared" si="4"/>
        <v>518.45631067888712</v>
      </c>
      <c r="G55" s="3"/>
      <c r="H55" s="3"/>
    </row>
    <row r="56" spans="1:8" x14ac:dyDescent="0.25">
      <c r="A56" s="110">
        <v>8</v>
      </c>
      <c r="B56" s="125">
        <f t="shared" si="4"/>
        <v>395.83637322742914</v>
      </c>
      <c r="G56" s="3"/>
      <c r="H56" s="3"/>
    </row>
    <row r="57" spans="1:8" x14ac:dyDescent="0.25">
      <c r="A57" s="110">
        <v>9</v>
      </c>
      <c r="B57" s="125">
        <f t="shared" si="4"/>
        <v>268.66723609652206</v>
      </c>
      <c r="G57" s="3"/>
      <c r="H57" s="3"/>
    </row>
    <row r="58" spans="1:8" x14ac:dyDescent="0.25">
      <c r="A58" s="110">
        <v>10</v>
      </c>
      <c r="B58" s="125">
        <f t="shared" si="4"/>
        <v>136.78012397805838</v>
      </c>
      <c r="G58" s="3"/>
      <c r="H58" s="3"/>
    </row>
    <row r="59" spans="1:8" x14ac:dyDescent="0.25">
      <c r="A59" s="110">
        <v>11</v>
      </c>
      <c r="B59" s="125">
        <f t="shared" si="4"/>
        <v>-3.3178366720676433E-13</v>
      </c>
      <c r="G59" s="3"/>
      <c r="H59" s="3"/>
    </row>
    <row r="60" spans="1:8" x14ac:dyDescent="0.25">
      <c r="A60" s="110">
        <v>12</v>
      </c>
      <c r="B60" s="125">
        <f t="shared" si="4"/>
        <v>-3.4409284126013529E-13</v>
      </c>
      <c r="G60" s="3"/>
      <c r="H60" s="3"/>
    </row>
    <row r="61" spans="1:8" x14ac:dyDescent="0.25">
      <c r="A61" s="110">
        <v>13</v>
      </c>
      <c r="B61" s="125">
        <f t="shared" si="4"/>
        <v>-3.5685868567088632E-13</v>
      </c>
      <c r="G61" s="3"/>
      <c r="H61" s="3"/>
    </row>
    <row r="62" spans="1:8" x14ac:dyDescent="0.25">
      <c r="A62" s="110">
        <v>14</v>
      </c>
      <c r="B62" s="125">
        <f t="shared" si="4"/>
        <v>-3.7009814290927617E-13</v>
      </c>
      <c r="G62" s="3"/>
      <c r="H62" s="3"/>
    </row>
    <row r="63" spans="1:8" x14ac:dyDescent="0.25">
      <c r="A63" s="110">
        <v>15</v>
      </c>
      <c r="B63" s="125">
        <f t="shared" si="4"/>
        <v>-3.8382878401121031E-13</v>
      </c>
      <c r="G63" s="3"/>
      <c r="H63" s="3"/>
    </row>
    <row r="64" spans="1:8" x14ac:dyDescent="0.25">
      <c r="A64" s="110">
        <v>16</v>
      </c>
      <c r="B64" s="125">
        <f t="shared" si="4"/>
        <v>-3.9806883189802616E-13</v>
      </c>
      <c r="G64" s="3"/>
      <c r="H64" s="3"/>
    </row>
    <row r="65" spans="1:8" x14ac:dyDescent="0.25">
      <c r="A65" s="110">
        <v>17</v>
      </c>
      <c r="B65" s="125">
        <f t="shared" si="4"/>
        <v>-4.1283718556144294E-13</v>
      </c>
      <c r="G65" s="3"/>
      <c r="H65" s="3"/>
    </row>
    <row r="66" spans="1:8" x14ac:dyDescent="0.25">
      <c r="A66" s="110">
        <v>18</v>
      </c>
      <c r="B66" s="125">
        <f t="shared" si="4"/>
        <v>-4.2815344514577249E-13</v>
      </c>
      <c r="G66" s="3"/>
      <c r="H66" s="3"/>
    </row>
    <row r="67" spans="1:8" x14ac:dyDescent="0.25">
      <c r="A67" s="110">
        <v>19</v>
      </c>
      <c r="B67" s="125">
        <f t="shared" si="4"/>
        <v>-4.440379379606806E-13</v>
      </c>
      <c r="G67" s="3"/>
      <c r="H67" s="3"/>
    </row>
    <row r="68" spans="1:8" x14ac:dyDescent="0.25">
      <c r="A68" s="110">
        <v>20</v>
      </c>
      <c r="B68" s="125">
        <f t="shared" si="4"/>
        <v>-4.6051174545902191E-13</v>
      </c>
      <c r="G68" s="3"/>
      <c r="H68" s="3"/>
    </row>
    <row r="69" spans="1:8" x14ac:dyDescent="0.25">
      <c r="A69" s="110">
        <v>21</v>
      </c>
      <c r="B69" s="125">
        <f t="shared" si="4"/>
        <v>-4.7759673121555168E-13</v>
      </c>
      <c r="G69" s="3"/>
      <c r="H69" s="3"/>
    </row>
    <row r="70" spans="1:8" x14ac:dyDescent="0.25">
      <c r="A70" s="110">
        <v>22</v>
      </c>
      <c r="B70" s="125">
        <f t="shared" si="4"/>
        <v>-4.953155699436486E-13</v>
      </c>
      <c r="G70" s="3"/>
      <c r="H70" s="3"/>
    </row>
    <row r="71" spans="1:8" x14ac:dyDescent="0.25">
      <c r="A71" s="110">
        <v>23</v>
      </c>
      <c r="B71" s="125">
        <f t="shared" si="4"/>
        <v>-5.1369177758855795E-13</v>
      </c>
      <c r="G71" s="3"/>
      <c r="H71" s="3"/>
    </row>
    <row r="72" spans="1:8" x14ac:dyDescent="0.25">
      <c r="A72" s="110">
        <v>24</v>
      </c>
      <c r="B72" s="125">
        <f t="shared" si="4"/>
        <v>-5.327497425370934E-13</v>
      </c>
      <c r="G72" s="3"/>
      <c r="H72" s="3"/>
    </row>
    <row r="73" spans="1:8" x14ac:dyDescent="0.25">
      <c r="A73" s="110">
        <v>25</v>
      </c>
      <c r="B73" s="125">
        <f t="shared" si="4"/>
        <v>-5.525147579852196E-13</v>
      </c>
      <c r="G73" s="3"/>
      <c r="H73" s="3"/>
    </row>
    <row r="74" spans="1:8" x14ac:dyDescent="0.25">
      <c r="A74" s="110">
        <v>26</v>
      </c>
      <c r="B74" s="125">
        <f t="shared" si="4"/>
        <v>-5.730130555064712E-13</v>
      </c>
      <c r="G74" s="3"/>
      <c r="H74" s="3"/>
    </row>
    <row r="75" spans="1:8" x14ac:dyDescent="0.25">
      <c r="A75" s="110">
        <v>27</v>
      </c>
      <c r="B75" s="125">
        <f t="shared" si="4"/>
        <v>-5.9427183986576129E-13</v>
      </c>
      <c r="G75" s="3"/>
      <c r="H75" s="3"/>
    </row>
    <row r="76" spans="1:8" x14ac:dyDescent="0.25">
      <c r="A76" s="110">
        <v>28</v>
      </c>
      <c r="B76" s="125">
        <f t="shared" si="4"/>
        <v>-6.1631932512478104E-13</v>
      </c>
      <c r="G76" s="3"/>
      <c r="H76" s="3"/>
    </row>
    <row r="77" spans="1:8" x14ac:dyDescent="0.25">
      <c r="A77" s="110">
        <v>29</v>
      </c>
      <c r="B77" s="125">
        <f t="shared" si="4"/>
        <v>-6.3918477208691044E-13</v>
      </c>
      <c r="G77" s="3"/>
      <c r="H77" s="3"/>
    </row>
    <row r="78" spans="1:8" x14ac:dyDescent="0.25">
      <c r="A78" s="110">
        <v>30</v>
      </c>
      <c r="B78" s="125">
        <f t="shared" si="4"/>
        <v>-6.6289852713133484E-13</v>
      </c>
      <c r="G78" s="3"/>
      <c r="H78" s="3"/>
    </row>
    <row r="79" spans="1:8" x14ac:dyDescent="0.25">
      <c r="A79" s="109"/>
      <c r="B79" s="125">
        <f t="shared" si="4"/>
        <v>-6.8749206248790744E-13</v>
      </c>
      <c r="G79" s="3"/>
      <c r="H79" s="3"/>
    </row>
    <row r="80" spans="1:8" x14ac:dyDescent="0.25">
      <c r="A80" s="109"/>
      <c r="G80" s="3"/>
      <c r="H80" s="3"/>
    </row>
    <row r="81" spans="1:8" x14ac:dyDescent="0.25">
      <c r="A81" s="109"/>
      <c r="G81" s="3"/>
      <c r="H81" s="3"/>
    </row>
    <row r="82" spans="1:8" ht="18.600000000000001" thickBot="1" x14ac:dyDescent="0.45">
      <c r="A82" s="126" t="s">
        <v>67</v>
      </c>
      <c r="B82" s="125">
        <f>B49+(B50/(1+B$12)^(A50-A$49))+(B51/((1+B$12)^(A51-A$49)))+(B52/((1+B$12)^(A52-A$49)))+(B53/((1+B$12)^(A53-A$49)))+(B54/((1+B$12)^(A54-A$49)))+(B55/((1+B$12)^(A55-A$49)))+(B56/((1+B$12)^(A56-A$49)))+(B57/((1+B$12)^(A57-A$49)))+(B58/((1+B$12)^(A58-A$49)))+(B59/((1+B$12)^(A59-A$49)))+(B60/((1+B$12)^(A60-A$49)))+(B61/((1+B$12)^(A61-A$49)))+(B62/((1+B$12)^(A62-A$49)))+(B63/((1+B$12)^(A63-A$49)))+(B64/((1+B$12)^(A64-A$49)))+(B65/((1+B$12)^(A65-A$49)))+(B66/((1+B$12)^(A66-A$49)))+(B67/((1+B$12)^(A67-A$49)))+(B68/((1+B$12)^(A68-A$49)+(B69/((1+B$12)^(A69-A$49)+(B70/((1+B$12)^(A70-A$49)+(B71/((1+B$12)^(A71-A$49)+(B72/((1+B$12)^(A72-A$49)+(B73/((1+B$12)^(A73-A$49)+(B74/((1+B$12)^(A74-A$49)+(B75/((1+B$12)^(A75-A$49)+(B76/((1+B$12)^(A76-A$49)+(B77/((1+B$12)^(A77-A$49)+(B78/((1+B$12)^(A78-A$49)))))))))))))))))))))))</f>
        <v>6070.4299251631901</v>
      </c>
      <c r="G82" s="3"/>
      <c r="H82" s="3"/>
    </row>
    <row r="83" spans="1:8" ht="13.8" thickBot="1" x14ac:dyDescent="0.3">
      <c r="A83" s="110" t="s">
        <v>68</v>
      </c>
      <c r="B83" s="127">
        <v>0</v>
      </c>
      <c r="G83" s="3"/>
      <c r="H83" s="3"/>
    </row>
    <row r="84" spans="1:8" x14ac:dyDescent="0.25">
      <c r="A84" s="109"/>
      <c r="G84" s="3"/>
      <c r="H84" s="3"/>
    </row>
    <row r="85" spans="1:8" x14ac:dyDescent="0.25">
      <c r="A85" s="128" t="s">
        <v>69</v>
      </c>
      <c r="B85" s="129">
        <f>B82-B83</f>
        <v>6070.4299251631901</v>
      </c>
      <c r="G85" s="3"/>
      <c r="H85" s="3"/>
    </row>
  </sheetData>
  <sheetProtection algorithmName="SHA-512" hashValue="hs4nXTmQVLN6+zIJDTVoFOIufTbmA56+6ovLF+xIUFJ7WpKFwYnudVOwq8HgLevTmxxKZimA/ZIThLwDvkNt8w==" saltValue="yO5xzpmUavannZdtaOBXGg==" spinCount="100000" sheet="1" objects="1" scenarios="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0C0D8-9B7C-4DDC-97A0-949E13590FA2}">
  <dimension ref="A1:B10"/>
  <sheetViews>
    <sheetView workbookViewId="0">
      <selection activeCell="B3" sqref="B3"/>
    </sheetView>
  </sheetViews>
  <sheetFormatPr defaultRowHeight="13.2" x14ac:dyDescent="0.25"/>
  <cols>
    <col min="1" max="1" width="31.6640625" bestFit="1" customWidth="1"/>
    <col min="2" max="2" width="58.6640625" customWidth="1"/>
  </cols>
  <sheetData>
    <row r="1" spans="1:2" x14ac:dyDescent="0.25">
      <c r="A1" s="18" t="s">
        <v>70</v>
      </c>
      <c r="B1" s="15"/>
    </row>
    <row r="2" spans="1:2" x14ac:dyDescent="0.25">
      <c r="A2" s="16" t="s">
        <v>71</v>
      </c>
      <c r="B2" s="17">
        <v>25000</v>
      </c>
    </row>
    <row r="3" spans="1:2" x14ac:dyDescent="0.25">
      <c r="A3" s="16" t="s">
        <v>72</v>
      </c>
      <c r="B3" s="17">
        <v>12500</v>
      </c>
    </row>
    <row r="5" spans="1:2" x14ac:dyDescent="0.25">
      <c r="A5" s="18" t="s">
        <v>38</v>
      </c>
    </row>
    <row r="6" spans="1:2" ht="52.8" x14ac:dyDescent="0.25">
      <c r="A6" s="19" t="s">
        <v>85</v>
      </c>
      <c r="B6" s="20">
        <v>0.65</v>
      </c>
    </row>
    <row r="7" spans="1:2" ht="52.8" x14ac:dyDescent="0.25">
      <c r="A7" s="19" t="s">
        <v>86</v>
      </c>
      <c r="B7" s="20">
        <v>0.8</v>
      </c>
    </row>
    <row r="8" spans="1:2" ht="39.6" x14ac:dyDescent="0.25">
      <c r="A8" s="19" t="s">
        <v>87</v>
      </c>
      <c r="B8" s="20">
        <v>0.8</v>
      </c>
    </row>
    <row r="9" spans="1:2" ht="39.6" x14ac:dyDescent="0.25">
      <c r="A9" s="19" t="s">
        <v>88</v>
      </c>
    </row>
    <row r="10" spans="1:2" x14ac:dyDescent="0.25">
      <c r="A10" s="146" t="s">
        <v>92</v>
      </c>
    </row>
  </sheetData>
  <sheetProtection algorithmName="SHA-512" hashValue="Qf/JHVGVQllFDcJdYW/GxlEm/7uiFceK/9Xno5D/eUp/6C++qOWxqzhp0QlZ4nPzNP+dRkzZrw7qkdf6EtYFCQ==" saltValue="jUaVtX8vNRE0GlbnMLqTa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40994-685A-4049-9D62-278E74324ADB}">
  <dimension ref="A1:A7"/>
  <sheetViews>
    <sheetView workbookViewId="0">
      <selection activeCell="C18" sqref="C18"/>
    </sheetView>
  </sheetViews>
  <sheetFormatPr defaultRowHeight="13.2" x14ac:dyDescent="0.25"/>
  <cols>
    <col min="1" max="1" width="10.44140625" bestFit="1" customWidth="1"/>
  </cols>
  <sheetData>
    <row r="1" spans="1:1" x14ac:dyDescent="0.25">
      <c r="A1" t="s">
        <v>73</v>
      </c>
    </row>
    <row r="2" spans="1:1" x14ac:dyDescent="0.25">
      <c r="A2">
        <v>12</v>
      </c>
    </row>
    <row r="3" spans="1:1" x14ac:dyDescent="0.25">
      <c r="A3">
        <v>4</v>
      </c>
    </row>
    <row r="4" spans="1:1" x14ac:dyDescent="0.25">
      <c r="A4">
        <v>3</v>
      </c>
    </row>
    <row r="5" spans="1:1" x14ac:dyDescent="0.25">
      <c r="A5">
        <v>2</v>
      </c>
    </row>
    <row r="6" spans="1:1" x14ac:dyDescent="0.25">
      <c r="A6">
        <v>1</v>
      </c>
    </row>
    <row r="7" spans="1:1" x14ac:dyDescent="0.25">
      <c r="A7">
        <v>0</v>
      </c>
    </row>
  </sheetData>
  <dataValidations count="1">
    <dataValidation type="whole" operator="lessThanOrEqual" allowBlank="1" showInputMessage="1" showErrorMessage="1" sqref="B12:B13" xr:uid="{6E3A05E9-469A-4E8C-8681-237D70D34F89}">
      <formula1>48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6FDFE33E5A6B4EBBF8FA1E878822C3" ma:contentTypeVersion="17" ma:contentTypeDescription="Creare un nuovo documento." ma:contentTypeScope="" ma:versionID="f426a27d4ae133b02902b8718d7cda43">
  <xsd:schema xmlns:xsd="http://www.w3.org/2001/XMLSchema" xmlns:xs="http://www.w3.org/2001/XMLSchema" xmlns:p="http://schemas.microsoft.com/office/2006/metadata/properties" xmlns:ns3="8cafde78-fefb-4513-a293-9443cd015ad6" xmlns:ns4="6ccedc98-2854-4a32-9401-ae519b86d1b1" targetNamespace="http://schemas.microsoft.com/office/2006/metadata/properties" ma:root="true" ma:fieldsID="ecd0b6812eea6d6cea10f097cefbfd95" ns3:_="" ns4:_="">
    <xsd:import namespace="8cafde78-fefb-4513-a293-9443cd015ad6"/>
    <xsd:import namespace="6ccedc98-2854-4a32-9401-ae519b86d1b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_activity" minOccurs="0"/>
                <xsd:element ref="ns3:MediaServiceObjectDetectorVersions" minOccurs="0"/>
                <xsd:element ref="ns3:MediaServiceSearchPropertie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afde78-fefb-4513-a293-9443cd015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cedc98-2854-4a32-9401-ae519b86d1b1"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cafde78-fefb-4513-a293-9443cd015a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1F2C60-1691-487E-978F-0E3E8F68C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afde78-fefb-4513-a293-9443cd015ad6"/>
    <ds:schemaRef ds:uri="6ccedc98-2854-4a32-9401-ae519b86d1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E8CC6D-EF2D-4CFB-B9EF-E0B734A51691}">
  <ds:schemaRefs>
    <ds:schemaRef ds:uri="http://schemas.microsoft.com/office/2006/metadata/properties"/>
    <ds:schemaRef ds:uri="http://schemas.microsoft.com/office/infopath/2007/PartnerControls"/>
    <ds:schemaRef ds:uri="8cafde78-fefb-4513-a293-9443cd015ad6"/>
  </ds:schemaRefs>
</ds:datastoreItem>
</file>

<file path=customXml/itemProps3.xml><?xml version="1.0" encoding="utf-8"?>
<ds:datastoreItem xmlns:ds="http://schemas.openxmlformats.org/officeDocument/2006/customXml" ds:itemID="{791C3B74-F473-4562-ADBC-5EE1B29AB6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FNC-AGRI_prospetto riassuntivo</vt:lpstr>
      <vt:lpstr>FNC-AGRI_contributo interessi</vt:lpstr>
      <vt:lpstr>FNC-AGRI_ESL riassicurazione</vt:lpstr>
      <vt:lpstr>Massimali</vt:lpstr>
      <vt:lpstr>Frequenza rate</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Chiara Gusella</dc:creator>
  <cp:keywords/>
  <dc:description/>
  <cp:lastModifiedBy>Elena Berloni</cp:lastModifiedBy>
  <cp:revision/>
  <dcterms:created xsi:type="dcterms:W3CDTF">2020-04-27T16:01:26Z</dcterms:created>
  <dcterms:modified xsi:type="dcterms:W3CDTF">2025-06-24T14:37:34Z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0x010100B06FDFE33E5A6B4EBBF8FA1E878822C3</vt:lpwstr>
  </property>
</Properties>
</file>