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1.101.241\rti-cfm\zz_FCE Fondo Credito Energia\"/>
    </mc:Choice>
  </mc:AlternateContent>
  <xr:revisionPtr revIDLastSave="0" documentId="13_ncr:1_{DCAFD692-5AA6-4586-9DEF-9F5BEBDCB48B}" xr6:coauthVersionLast="47" xr6:coauthVersionMax="47" xr10:uidLastSave="{00000000-0000-0000-0000-000000000000}"/>
  <bookViews>
    <workbookView xWindow="-28920" yWindow="-120" windowWidth="29040" windowHeight="15720" tabRatio="847" xr2:uid="{00000000-000D-0000-FFFF-FFFF00000000}"/>
  </bookViews>
  <sheets>
    <sheet name="FNC-ENERG_prospetto riassuntivo" sheetId="15" r:id="rId1"/>
    <sheet name="FNC-ENERG_contributo interessi" sheetId="20" r:id="rId2"/>
    <sheet name="Fasce" sheetId="2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5" l="1"/>
  <c r="B15" i="15" s="1"/>
  <c r="B29" i="15"/>
  <c r="B21" i="15" l="1"/>
  <c r="B22" i="15" s="1"/>
  <c r="B18" i="15"/>
  <c r="B27" i="15"/>
  <c r="B26" i="15"/>
  <c r="B16" i="15" l="1"/>
  <c r="C21" i="15" s="1"/>
  <c r="F6" i="20"/>
  <c r="F5" i="20"/>
  <c r="F4" i="20"/>
  <c r="F3" i="20"/>
  <c r="B19" i="15" l="1"/>
  <c r="A3" i="20" s="1"/>
  <c r="H3" i="20" l="1"/>
  <c r="B3" i="20" s="1"/>
  <c r="G3" i="20" s="1"/>
  <c r="A4" i="20"/>
  <c r="M3" i="20"/>
  <c r="A5" i="20" l="1"/>
  <c r="H4" i="20"/>
  <c r="B4" i="20" s="1"/>
  <c r="D3" i="20"/>
  <c r="D4" i="20" l="1"/>
  <c r="G4" i="20"/>
  <c r="H5" i="20"/>
  <c r="B5" i="20" s="1"/>
  <c r="A6" i="20"/>
  <c r="G5" i="20" l="1"/>
  <c r="D5" i="20"/>
  <c r="H6" i="20"/>
  <c r="B6" i="20" s="1"/>
  <c r="D6" i="20" l="1"/>
  <c r="G6" i="20"/>
  <c r="J3" i="20" l="1"/>
  <c r="Q3" i="20" l="1"/>
  <c r="K3" i="20" s="1"/>
  <c r="P3" i="20" s="1"/>
  <c r="J4" i="20"/>
  <c r="J5" i="20" l="1"/>
  <c r="Q4" i="20"/>
  <c r="M4" i="20" s="1"/>
  <c r="L3" i="20"/>
  <c r="N3" i="20" s="1"/>
  <c r="O3" i="20" s="1"/>
  <c r="K4" i="20" l="1"/>
  <c r="P4" i="20" s="1"/>
  <c r="Q5" i="20"/>
  <c r="M5" i="20" s="1"/>
  <c r="J6" i="20"/>
  <c r="L4" i="20" l="1"/>
  <c r="N4" i="20" s="1"/>
  <c r="O4" i="20" s="1"/>
  <c r="K5" i="20" s="1"/>
  <c r="P5" i="20" s="1"/>
  <c r="J7" i="20"/>
  <c r="Q6" i="20"/>
  <c r="M6" i="20" s="1"/>
  <c r="L5" i="20" l="1"/>
  <c r="N5" i="20" s="1"/>
  <c r="O5" i="20" s="1"/>
  <c r="K6" i="20" s="1"/>
  <c r="P6" i="20" s="1"/>
  <c r="Q7" i="20"/>
  <c r="M7" i="20" s="1"/>
  <c r="J8" i="20"/>
  <c r="L6" i="20" l="1"/>
  <c r="N6" i="20" s="1"/>
  <c r="O6" i="20" s="1"/>
  <c r="K7" i="20" s="1"/>
  <c r="P7" i="20" s="1"/>
  <c r="J9" i="20"/>
  <c r="Q8" i="20"/>
  <c r="M8" i="20" s="1"/>
  <c r="L7" i="20" l="1"/>
  <c r="N7" i="20" s="1"/>
  <c r="O7" i="20" s="1"/>
  <c r="K8" i="20" s="1"/>
  <c r="P8" i="20" s="1"/>
  <c r="Q9" i="20"/>
  <c r="M9" i="20" s="1"/>
  <c r="J10" i="20"/>
  <c r="L8" i="20" l="1"/>
  <c r="N8" i="20" s="1"/>
  <c r="O8" i="20" s="1"/>
  <c r="K9" i="20" s="1"/>
  <c r="P9" i="20" s="1"/>
  <c r="Q10" i="20"/>
  <c r="M10" i="20" s="1"/>
  <c r="J11" i="20"/>
  <c r="L9" i="20" l="1"/>
  <c r="N9" i="20" s="1"/>
  <c r="O9" i="20" s="1"/>
  <c r="K10" i="20" s="1"/>
  <c r="P10" i="20" s="1"/>
  <c r="Q11" i="20"/>
  <c r="M11" i="20" s="1"/>
  <c r="J12" i="20"/>
  <c r="L10" i="20" l="1"/>
  <c r="N10" i="20" s="1"/>
  <c r="O10" i="20" s="1"/>
  <c r="K11" i="20" s="1"/>
  <c r="P11" i="20" s="1"/>
  <c r="J13" i="20"/>
  <c r="Q12" i="20"/>
  <c r="M12" i="20" s="1"/>
  <c r="L11" i="20" l="1"/>
  <c r="N11" i="20" s="1"/>
  <c r="O11" i="20" s="1"/>
  <c r="K12" i="20" s="1"/>
  <c r="P12" i="20" s="1"/>
  <c r="Q13" i="20"/>
  <c r="M13" i="20" s="1"/>
  <c r="J14" i="20"/>
  <c r="L12" i="20" l="1"/>
  <c r="N12" i="20" s="1"/>
  <c r="O12" i="20" s="1"/>
  <c r="K13" i="20" s="1"/>
  <c r="P13" i="20" s="1"/>
  <c r="Q14" i="20"/>
  <c r="M14" i="20" s="1"/>
  <c r="J15" i="20"/>
  <c r="L13" i="20" l="1"/>
  <c r="N13" i="20" s="1"/>
  <c r="O13" i="20" s="1"/>
  <c r="K14" i="20" s="1"/>
  <c r="P14" i="20" s="1"/>
  <c r="Q15" i="20"/>
  <c r="M15" i="20" s="1"/>
  <c r="J16" i="20"/>
  <c r="L14" i="20" l="1"/>
  <c r="N14" i="20" s="1"/>
  <c r="O14" i="20" s="1"/>
  <c r="K15" i="20" s="1"/>
  <c r="P15" i="20" s="1"/>
  <c r="J17" i="20"/>
  <c r="Q16" i="20"/>
  <c r="M16" i="20" s="1"/>
  <c r="L15" i="20" l="1"/>
  <c r="N15" i="20" s="1"/>
  <c r="O15" i="20" s="1"/>
  <c r="K16" i="20" s="1"/>
  <c r="P16" i="20" s="1"/>
  <c r="Q17" i="20"/>
  <c r="M17" i="20" s="1"/>
  <c r="J18" i="20"/>
  <c r="L16" i="20" l="1"/>
  <c r="N16" i="20" s="1"/>
  <c r="O16" i="20" s="1"/>
  <c r="K17" i="20" s="1"/>
  <c r="P17" i="20" s="1"/>
  <c r="Q18" i="20"/>
  <c r="M18" i="20" s="1"/>
  <c r="J19" i="20"/>
  <c r="L17" i="20" l="1"/>
  <c r="N17" i="20" s="1"/>
  <c r="O17" i="20" s="1"/>
  <c r="K18" i="20" s="1"/>
  <c r="P18" i="20" s="1"/>
  <c r="Q19" i="20"/>
  <c r="M19" i="20" s="1"/>
  <c r="J20" i="20"/>
  <c r="L18" i="20" l="1"/>
  <c r="N18" i="20" s="1"/>
  <c r="O18" i="20" s="1"/>
  <c r="K19" i="20" s="1"/>
  <c r="P19" i="20" s="1"/>
  <c r="J21" i="20"/>
  <c r="Q20" i="20"/>
  <c r="M20" i="20" s="1"/>
  <c r="L19" i="20" l="1"/>
  <c r="N19" i="20" s="1"/>
  <c r="O19" i="20" s="1"/>
  <c r="K20" i="20" s="1"/>
  <c r="P20" i="20" s="1"/>
  <c r="Q21" i="20"/>
  <c r="M21" i="20" s="1"/>
  <c r="J22" i="20"/>
  <c r="L20" i="20" l="1"/>
  <c r="N20" i="20" s="1"/>
  <c r="O20" i="20" s="1"/>
  <c r="K21" i="20" s="1"/>
  <c r="P21" i="20" s="1"/>
  <c r="Q22" i="20"/>
  <c r="M22" i="20" s="1"/>
  <c r="J23" i="20"/>
  <c r="L21" i="20" l="1"/>
  <c r="N21" i="20" s="1"/>
  <c r="O21" i="20" s="1"/>
  <c r="K22" i="20" s="1"/>
  <c r="P22" i="20" s="1"/>
  <c r="Q23" i="20"/>
  <c r="M23" i="20" s="1"/>
  <c r="J24" i="20"/>
  <c r="L22" i="20" l="1"/>
  <c r="N22" i="20" s="1"/>
  <c r="O22" i="20" s="1"/>
  <c r="K23" i="20" s="1"/>
  <c r="P23" i="20" s="1"/>
  <c r="J25" i="20"/>
  <c r="Q24" i="20"/>
  <c r="M24" i="20" s="1"/>
  <c r="L23" i="20" l="1"/>
  <c r="N23" i="20" s="1"/>
  <c r="O23" i="20" s="1"/>
  <c r="K24" i="20" s="1"/>
  <c r="P24" i="20" s="1"/>
  <c r="Q25" i="20"/>
  <c r="M25" i="20" s="1"/>
  <c r="J26" i="20"/>
  <c r="L24" i="20" l="1"/>
  <c r="N24" i="20" s="1"/>
  <c r="O24" i="20" s="1"/>
  <c r="K25" i="20" s="1"/>
  <c r="P25" i="20" s="1"/>
  <c r="Q26" i="20"/>
  <c r="M26" i="20" s="1"/>
  <c r="L25" i="20" l="1"/>
  <c r="N25" i="20" s="1"/>
  <c r="O25" i="20" s="1"/>
  <c r="K26" i="20" s="1"/>
  <c r="P26" i="20" s="1"/>
  <c r="B28" i="15" s="1"/>
  <c r="L26" i="20" l="1"/>
  <c r="N26" i="20" s="1"/>
  <c r="O26" i="20" s="1"/>
  <c r="B30" i="15" l="1"/>
  <c r="C30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Giorgio</author>
  </authors>
  <commentList>
    <comment ref="B17" authorId="0" shapeId="0" xr:uid="{C1AAEEDB-E0E1-4DB5-8DE3-CFA1718D64B2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
0 = nessuna rata di preammortamento</t>
        </r>
      </text>
    </comment>
    <comment ref="B20" authorId="0" shapeId="0" xr:uid="{E6554D87-ABA9-4905-9282-ADEBA36CA3AB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
0 = nessuna rata di preammortamento</t>
        </r>
      </text>
    </comment>
    <comment ref="C21" authorId="0" shapeId="0" xr:uid="{77758C97-41B7-4FAA-BBD0-F6607EEE9F21}">
      <text>
        <r>
          <rPr>
            <sz val="9"/>
            <color indexed="81"/>
            <rFont val="Tahoma"/>
            <family val="2"/>
          </rPr>
          <t>Possibile messaggio alert</t>
        </r>
      </text>
    </comment>
    <comment ref="C30" authorId="0" shapeId="0" xr:uid="{194E8182-EBCA-46FF-BC53-DE9DB5EDD41B}">
      <text>
        <r>
          <rPr>
            <sz val="9"/>
            <color indexed="81"/>
            <rFont val="Tahoma"/>
            <family val="2"/>
          </rPr>
          <t>Possibile messaggio alert</t>
        </r>
      </text>
    </comment>
  </commentList>
</comments>
</file>

<file path=xl/sharedStrings.xml><?xml version="1.0" encoding="utf-8"?>
<sst xmlns="http://schemas.openxmlformats.org/spreadsheetml/2006/main" count="48" uniqueCount="38">
  <si>
    <t>DETERMINAZIONE DELL'INTENSITA' DI AIUTO</t>
  </si>
  <si>
    <t>PIANO DI PREAMMORTAMENTO</t>
  </si>
  <si>
    <t>Quote interessi attualizzate ai fini del calcolo dell'ESL</t>
  </si>
  <si>
    <t>Numero rata</t>
  </si>
  <si>
    <t>Quota interessi</t>
  </si>
  <si>
    <t>Quota capitale</t>
  </si>
  <si>
    <t>Rata complessiva</t>
  </si>
  <si>
    <t>Debito estinto</t>
  </si>
  <si>
    <t xml:space="preserve">Debito residuo </t>
  </si>
  <si>
    <t xml:space="preserve">PIANO DI AMMORTAMENTO </t>
  </si>
  <si>
    <t>Numero di rate in un anno nel periodo di preammortamento</t>
  </si>
  <si>
    <t>Numero di rate in un anno nel periodo di ammortamento</t>
  </si>
  <si>
    <t>Numero rate totali di preammortamento</t>
  </si>
  <si>
    <t>Numero rate totali di ammortamento</t>
  </si>
  <si>
    <t>Tasso di interesse periodale - periodo di ammortamento</t>
  </si>
  <si>
    <t>Tasso di interesse periodale - periodo di preammortamento</t>
  </si>
  <si>
    <t>Importo Finanziamento</t>
  </si>
  <si>
    <t>Tasso di Riferimento Europeo (anno/mese di concessione)</t>
  </si>
  <si>
    <t>Durata periodo di preammortamento (in mesi)</t>
  </si>
  <si>
    <t>Durata periodo di ammortamento (in mesi)</t>
  </si>
  <si>
    <t>Durata complessiva prestito (mm)</t>
  </si>
  <si>
    <t>Margine attualiazzazione - Comunicazione 2008/C 14/02</t>
  </si>
  <si>
    <t>Totale Sovvenzione</t>
  </si>
  <si>
    <t>Valorizzare i campi in rosso</t>
  </si>
  <si>
    <t>Margine per calcolo quota interesse - Comunicazione 2008/C 14/02</t>
  </si>
  <si>
    <t>Contributo c/capitale - RM Settore Energia</t>
  </si>
  <si>
    <t>Dimensione impresa</t>
  </si>
  <si>
    <t>Importo Progetto</t>
  </si>
  <si>
    <t>Utilizzo plafond de minimis</t>
  </si>
  <si>
    <t>ESL quota interessi - RTI "CFM"</t>
  </si>
  <si>
    <t>Fascia</t>
  </si>
  <si>
    <t>Percentuale Progetto sostenuto dallo Strumento Finanziario</t>
  </si>
  <si>
    <t>% SF</t>
  </si>
  <si>
    <t>Grande impresa</t>
  </si>
  <si>
    <t>Altro</t>
  </si>
  <si>
    <t>% Capitale</t>
  </si>
  <si>
    <t>Fascia (percentuale Strumento Finanziario e Contributo c/capitale) - come da Bando</t>
  </si>
  <si>
    <t>Piccola Impresa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</si>
</sst>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"/>
    <numFmt numFmtId="166" formatCode="_-* #,##0_-;\-* #,##0_-;_-* &quot;-&quot;??_-;_-@_-"/>
  </numFmts>
  <fonts count="12" x14ac:knownFonts="1">
    <font>
      <sz val="10"/>
      <name val="Century Gothic"/>
      <family val="2"/>
    </font>
    <font>
      <sz val="10"/>
      <name val="Century Gothic"/>
      <family val="2"/>
    </font>
    <font>
      <b/>
      <sz val="10.5"/>
      <name val="Calibri Light"/>
      <family val="1"/>
      <scheme val="major"/>
    </font>
    <font>
      <sz val="10"/>
      <name val="Calibri Light"/>
      <family val="1"/>
      <scheme val="major"/>
    </font>
    <font>
      <sz val="9"/>
      <color indexed="81"/>
      <name val="Tahoma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0.5"/>
      <color rgb="FFFF0000"/>
      <name val="Calibri Light"/>
      <family val="1"/>
      <scheme val="major"/>
    </font>
    <font>
      <u/>
      <sz val="10.5"/>
      <name val="Calibri Light"/>
      <family val="2"/>
      <scheme val="major"/>
    </font>
    <font>
      <sz val="10"/>
      <color rgb="FFFF0000"/>
      <name val="Century Gothic"/>
      <family val="2"/>
    </font>
    <font>
      <b/>
      <sz val="10"/>
      <name val="Century Gothic"/>
      <family val="2"/>
    </font>
    <font>
      <sz val="10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8" fontId="0" fillId="0" borderId="0" xfId="0" applyNumberFormat="1"/>
    <xf numFmtId="0" fontId="7" fillId="0" borderId="0" xfId="0" applyFont="1" applyAlignment="1" applyProtection="1">
      <alignment horizontal="left" vertical="top"/>
      <protection hidden="1"/>
    </xf>
    <xf numFmtId="10" fontId="6" fillId="0" borderId="7" xfId="3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 wrapText="1"/>
      <protection hidden="1"/>
    </xf>
    <xf numFmtId="43" fontId="6" fillId="3" borderId="1" xfId="2" applyFont="1" applyFill="1" applyBorder="1" applyAlignment="1" applyProtection="1">
      <alignment horizontal="right" vertical="center"/>
    </xf>
    <xf numFmtId="43" fontId="5" fillId="4" borderId="8" xfId="2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 wrapText="1"/>
      <protection hidden="1"/>
    </xf>
    <xf numFmtId="43" fontId="6" fillId="3" borderId="8" xfId="2" applyFont="1" applyFill="1" applyBorder="1" applyAlignment="1" applyProtection="1">
      <alignment horizontal="right" vertical="center"/>
    </xf>
    <xf numFmtId="0" fontId="9" fillId="0" borderId="0" xfId="0" applyFont="1"/>
    <xf numFmtId="0" fontId="7" fillId="0" borderId="0" xfId="0" applyFont="1" applyAlignment="1" applyProtection="1">
      <alignment horizontal="center" vertical="center" wrapText="1"/>
      <protection hidden="1"/>
    </xf>
    <xf numFmtId="9" fontId="0" fillId="0" borderId="0" xfId="0" applyNumberFormat="1"/>
    <xf numFmtId="0" fontId="10" fillId="0" borderId="0" xfId="0" applyFont="1"/>
    <xf numFmtId="49" fontId="0" fillId="0" borderId="0" xfId="0" applyNumberFormat="1"/>
    <xf numFmtId="43" fontId="11" fillId="0" borderId="1" xfId="2" applyFont="1" applyFill="1" applyBorder="1" applyAlignment="1" applyProtection="1">
      <alignment vertical="center"/>
      <protection locked="0"/>
    </xf>
    <xf numFmtId="0" fontId="11" fillId="0" borderId="1" xfId="2" applyNumberFormat="1" applyFont="1" applyFill="1" applyBorder="1" applyAlignment="1" applyProtection="1">
      <alignment vertical="center"/>
      <protection locked="0"/>
    </xf>
    <xf numFmtId="10" fontId="11" fillId="0" borderId="6" xfId="3" applyNumberFormat="1" applyFont="1" applyFill="1" applyBorder="1" applyAlignment="1" applyProtection="1">
      <alignment vertical="center"/>
      <protection locked="0"/>
    </xf>
    <xf numFmtId="3" fontId="6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/>
    <xf numFmtId="9" fontId="6" fillId="0" borderId="1" xfId="3" applyFont="1" applyFill="1" applyBorder="1" applyAlignment="1" applyProtection="1">
      <alignment vertical="center"/>
    </xf>
    <xf numFmtId="43" fontId="6" fillId="0" borderId="1" xfId="2" applyFont="1" applyFill="1" applyBorder="1" applyAlignment="1" applyProtection="1">
      <alignment vertical="center"/>
    </xf>
    <xf numFmtId="3" fontId="6" fillId="0" borderId="5" xfId="0" applyNumberFormat="1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5" xfId="0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0" fontId="6" fillId="0" borderId="8" xfId="3" applyNumberFormat="1" applyFont="1" applyFill="1" applyBorder="1" applyAlignment="1" applyProtection="1">
      <alignment vertical="center"/>
    </xf>
    <xf numFmtId="3" fontId="6" fillId="0" borderId="7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0" fontId="6" fillId="0" borderId="1" xfId="0" applyNumberFormat="1" applyFont="1" applyBorder="1" applyAlignment="1">
      <alignment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3" borderId="8" xfId="0" applyNumberFormat="1" applyFont="1" applyFill="1" applyBorder="1" applyAlignment="1">
      <alignment horizontal="left" vertical="center"/>
    </xf>
    <xf numFmtId="3" fontId="5" fillId="4" borderId="8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6" fontId="0" fillId="0" borderId="1" xfId="2" applyNumberFormat="1" applyFont="1" applyBorder="1" applyProtection="1"/>
    <xf numFmtId="43" fontId="0" fillId="0" borderId="1" xfId="2" applyFont="1" applyBorder="1" applyProtection="1"/>
    <xf numFmtId="43" fontId="0" fillId="0" borderId="1" xfId="2" applyFont="1" applyBorder="1" applyAlignment="1" applyProtection="1">
      <alignment horizontal="right"/>
    </xf>
    <xf numFmtId="43" fontId="11" fillId="0" borderId="1" xfId="2" applyFont="1" applyBorder="1" applyProtection="1">
      <protection locked="0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6" fillId="0" borderId="5" xfId="2" applyNumberFormat="1" applyFont="1" applyFill="1" applyBorder="1" applyAlignment="1" applyProtection="1">
      <alignment vertical="center"/>
    </xf>
    <xf numFmtId="10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/>
      <protection locked="0"/>
    </xf>
  </cellXfs>
  <cellStyles count="4">
    <cellStyle name="Euro" xfId="1" xr:uid="{00000000-0005-0000-0000-000000000000}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66103</xdr:rowOff>
    </xdr:from>
    <xdr:to>
      <xdr:col>0</xdr:col>
      <xdr:colOff>1313217</xdr:colOff>
      <xdr:row>34</xdr:row>
      <xdr:rowOff>21797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BD8136-3036-46A4-B8A6-EA4A09DB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09603"/>
          <a:ext cx="1313217" cy="6414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1279713</xdr:colOff>
      <xdr:row>4</xdr:row>
      <xdr:rowOff>133351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82594E-AB77-4F12-A930-0BA9E1D5BEF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90113" b="2532"/>
        <a:stretch/>
      </xdr:blipFill>
      <xdr:spPr bwMode="auto">
        <a:xfrm>
          <a:off x="0" y="1"/>
          <a:ext cx="7546003" cy="7924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37D6-AA66-47AB-9398-A7F163ED932F}">
  <dimension ref="A7:L35"/>
  <sheetViews>
    <sheetView tabSelected="1" topLeftCell="A4" zoomScale="115" zoomScaleNormal="115" workbookViewId="0">
      <selection activeCell="E14" sqref="E14"/>
    </sheetView>
  </sheetViews>
  <sheetFormatPr defaultRowHeight="13.2" x14ac:dyDescent="0.25"/>
  <cols>
    <col min="1" max="1" width="63.33203125" customWidth="1"/>
    <col min="2" max="2" width="26.44140625" bestFit="1" customWidth="1"/>
    <col min="3" max="3" width="1.5546875" bestFit="1" customWidth="1"/>
    <col min="4" max="4" width="19.44140625" bestFit="1" customWidth="1"/>
    <col min="5" max="11" width="8.88671875" customWidth="1"/>
    <col min="12" max="12" width="12.21875" bestFit="1" customWidth="1"/>
    <col min="13" max="13" width="14.21875" bestFit="1" customWidth="1"/>
    <col min="14" max="14" width="14" customWidth="1"/>
    <col min="15" max="15" width="13.6640625" customWidth="1"/>
    <col min="16" max="16" width="42.5546875" bestFit="1" customWidth="1"/>
    <col min="17" max="17" width="2.109375" bestFit="1" customWidth="1"/>
  </cols>
  <sheetData>
    <row r="7" spans="1:11" ht="14.4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4.4" x14ac:dyDescent="0.25">
      <c r="A8" s="8" t="s">
        <v>23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14.4" x14ac:dyDescent="0.25">
      <c r="B9" s="1"/>
      <c r="C9" s="1"/>
      <c r="D9" s="1"/>
      <c r="F9" s="1"/>
      <c r="G9" s="1"/>
      <c r="H9" s="1"/>
      <c r="I9" s="1"/>
      <c r="J9" s="1"/>
      <c r="K9" s="1"/>
    </row>
    <row r="10" spans="1:11" ht="14.4" x14ac:dyDescent="0.25">
      <c r="A10" s="18" t="s">
        <v>27</v>
      </c>
      <c r="B10" s="15">
        <v>150000</v>
      </c>
      <c r="C10" s="19"/>
      <c r="F10" s="1"/>
      <c r="G10" s="1"/>
      <c r="H10" s="1"/>
      <c r="I10" s="1"/>
      <c r="J10" s="1"/>
      <c r="K10" s="1"/>
    </row>
    <row r="11" spans="1:11" ht="14.4" customHeight="1" x14ac:dyDescent="0.25">
      <c r="A11" s="18" t="s">
        <v>36</v>
      </c>
      <c r="B11" s="16">
        <v>3</v>
      </c>
      <c r="C11" s="19"/>
      <c r="F11" s="1"/>
      <c r="G11" s="1"/>
      <c r="H11" s="1"/>
      <c r="I11" s="1"/>
      <c r="J11" s="1"/>
      <c r="K11" s="1"/>
    </row>
    <row r="12" spans="1:11" ht="14.4" x14ac:dyDescent="0.3">
      <c r="A12" s="20" t="s">
        <v>26</v>
      </c>
      <c r="B12" s="54" t="s">
        <v>37</v>
      </c>
      <c r="C12" s="19"/>
      <c r="E12" s="11"/>
      <c r="F12" s="1"/>
      <c r="G12" s="1"/>
      <c r="H12" s="1"/>
      <c r="I12" s="1"/>
      <c r="J12" s="1"/>
      <c r="K12" s="1"/>
    </row>
    <row r="13" spans="1:11" ht="14.4" x14ac:dyDescent="0.25">
      <c r="A13" s="18" t="s">
        <v>31</v>
      </c>
      <c r="B13" s="21">
        <f>IF(B12="Grande Impresa",VLOOKUP(B11,Fasce!A3:C5,3,FALSE),VLOOKUP(B11,Fasce!A10:C12,3,FALSE))</f>
        <v>0.7</v>
      </c>
      <c r="C13" s="19"/>
      <c r="F13" s="1"/>
      <c r="G13" s="1"/>
      <c r="H13" s="1"/>
      <c r="I13" s="1"/>
      <c r="J13" s="1"/>
      <c r="K13" s="1"/>
    </row>
    <row r="14" spans="1:11" ht="14.4" x14ac:dyDescent="0.3">
      <c r="A14" s="18" t="s">
        <v>28</v>
      </c>
      <c r="B14" s="45">
        <v>0</v>
      </c>
      <c r="C14" s="19"/>
      <c r="G14" s="1"/>
      <c r="H14" s="1"/>
      <c r="I14" s="1"/>
      <c r="J14" s="1"/>
      <c r="K14" s="1"/>
    </row>
    <row r="15" spans="1:11" ht="13.8" x14ac:dyDescent="0.25">
      <c r="A15" s="18" t="s">
        <v>16</v>
      </c>
      <c r="B15" s="22">
        <f>B10*B13</f>
        <v>105000</v>
      </c>
    </row>
    <row r="16" spans="1:11" ht="14.4" thickBot="1" x14ac:dyDescent="0.3">
      <c r="A16" s="23" t="s">
        <v>20</v>
      </c>
      <c r="B16" s="49">
        <f>B18+B21</f>
        <v>60</v>
      </c>
    </row>
    <row r="17" spans="1:12" ht="15" customHeight="1" x14ac:dyDescent="0.25">
      <c r="A17" s="24" t="s">
        <v>10</v>
      </c>
      <c r="B17" s="46">
        <v>4</v>
      </c>
      <c r="C17" s="25"/>
      <c r="D17" s="25"/>
    </row>
    <row r="18" spans="1:12" ht="13.8" x14ac:dyDescent="0.25">
      <c r="A18" s="18" t="s">
        <v>18</v>
      </c>
      <c r="B18" s="48">
        <f>IF(B15&lt;=150000,6,12)</f>
        <v>6</v>
      </c>
      <c r="C18" s="25"/>
      <c r="D18" s="25"/>
    </row>
    <row r="19" spans="1:12" ht="14.4" thickBot="1" x14ac:dyDescent="0.3">
      <c r="A19" s="23" t="s">
        <v>12</v>
      </c>
      <c r="B19" s="26">
        <f>B17*B18/12</f>
        <v>2</v>
      </c>
      <c r="C19" s="25"/>
      <c r="D19" s="25"/>
    </row>
    <row r="20" spans="1:12" ht="13.8" x14ac:dyDescent="0.25">
      <c r="A20" s="27" t="s">
        <v>11</v>
      </c>
      <c r="B20" s="46">
        <v>4</v>
      </c>
      <c r="C20" s="25"/>
      <c r="D20" s="25"/>
    </row>
    <row r="21" spans="1:12" ht="13.8" x14ac:dyDescent="0.25">
      <c r="A21" s="28" t="s">
        <v>19</v>
      </c>
      <c r="B21" s="47">
        <f>IF(B15&lt;=150000,60-6,84-12)</f>
        <v>54</v>
      </c>
      <c r="C21" s="25" t="str">
        <f>IF(B21+B18=B16," ","Incongruenza tra durata totale del prestito e le sue componenti di ammortamento/preammortamento")</f>
        <v xml:space="preserve"> </v>
      </c>
      <c r="D21" s="25"/>
    </row>
    <row r="22" spans="1:12" ht="14.4" thickBot="1" x14ac:dyDescent="0.3">
      <c r="A22" s="29" t="s">
        <v>13</v>
      </c>
      <c r="B22" s="30">
        <f>B20*B21/12</f>
        <v>18</v>
      </c>
      <c r="C22" s="25"/>
      <c r="D22" s="25"/>
      <c r="L22" s="2"/>
    </row>
    <row r="23" spans="1:12" ht="13.8" x14ac:dyDescent="0.25">
      <c r="A23" s="31" t="s">
        <v>17</v>
      </c>
      <c r="B23" s="17">
        <v>2.7099999999999999E-2</v>
      </c>
    </row>
    <row r="24" spans="1:12" ht="13.8" x14ac:dyDescent="0.25">
      <c r="A24" s="32" t="s">
        <v>24</v>
      </c>
      <c r="B24" s="33">
        <v>0.04</v>
      </c>
    </row>
    <row r="25" spans="1:12" ht="14.4" thickBot="1" x14ac:dyDescent="0.3">
      <c r="A25" s="34" t="s">
        <v>21</v>
      </c>
      <c r="B25" s="4">
        <v>0.01</v>
      </c>
    </row>
    <row r="26" spans="1:12" ht="13.8" x14ac:dyDescent="0.25">
      <c r="A26" s="35" t="s">
        <v>15</v>
      </c>
      <c r="B26" s="36">
        <f>IFERROR(SUM(B23,B24)/B17,0)</f>
        <v>1.6774999999999998E-2</v>
      </c>
    </row>
    <row r="27" spans="1:12" ht="14.4" thickBot="1" x14ac:dyDescent="0.3">
      <c r="A27" s="34" t="s">
        <v>14</v>
      </c>
      <c r="B27" s="4">
        <f>SUM(B23:B24)/B20</f>
        <v>1.6774999999999998E-2</v>
      </c>
    </row>
    <row r="28" spans="1:12" ht="13.8" x14ac:dyDescent="0.25">
      <c r="A28" s="37" t="s">
        <v>29</v>
      </c>
      <c r="B28" s="6">
        <f>SUM('FNC-ENERG_contributo interessi'!G3:G6,'FNC-ENERG_contributo interessi'!P3:P26)</f>
        <v>19637.894193214761</v>
      </c>
    </row>
    <row r="29" spans="1:12" ht="13.8" x14ac:dyDescent="0.25">
      <c r="A29" s="38" t="s">
        <v>25</v>
      </c>
      <c r="B29" s="9">
        <f>B10*IF(B12="Grande Impresa",VLOOKUP(B11,Fasce!$A$3:$C$5,2,FALSE),VLOOKUP(B11,Fasce!A10:C12,2,FALSE))</f>
        <v>45000</v>
      </c>
    </row>
    <row r="30" spans="1:12" ht="13.8" x14ac:dyDescent="0.25">
      <c r="A30" s="39" t="s">
        <v>22</v>
      </c>
      <c r="B30" s="7">
        <f>B28+B29</f>
        <v>64637.894193214757</v>
      </c>
      <c r="C30" s="25" t="str">
        <f>IF(B14+B30&gt;300000,"ATTENZIONE - SUPERATO LIMITE PLAFOND DE MINIMIS EX REG UE 2831/2023"," ")</f>
        <v xml:space="preserve"> </v>
      </c>
      <c r="D30" s="10"/>
    </row>
    <row r="34" spans="1:1" ht="14.4" x14ac:dyDescent="0.25">
      <c r="A34" s="3"/>
    </row>
    <row r="35" spans="1:1" ht="14.4" x14ac:dyDescent="0.25">
      <c r="A35" s="3"/>
    </row>
  </sheetData>
  <sheetProtection algorithmName="SHA-512" hashValue="RTgfBePMuN09zz0IYKjcXxgwSOUC9zNA72LoLcsyIpRMj5sMiAJkGZANEM5fwZDVcWsLPGRg/mP4394HaU2Usw==" saltValue="ajkfXZADhe4rjNOJpsjTXw==" spinCount="100000" sheet="1" objects="1" scenarios="1"/>
  <dataValidations count="10">
    <dataValidation type="decimal" allowBlank="1" showInputMessage="1" showErrorMessage="1" sqref="B15" xr:uid="{847BB09A-D7A7-4F3F-A5B3-D8FFC1AC0442}">
      <formula1>50000</formula1>
      <formula2>500000</formula2>
    </dataValidation>
    <dataValidation type="whole" operator="lessThanOrEqual" allowBlank="1" showInputMessage="1" showErrorMessage="1" sqref="B21" xr:uid="{BDFD8104-B32A-496A-A62B-9AC0E93EE3E3}">
      <formula1>96</formula1>
    </dataValidation>
    <dataValidation operator="lessThanOrEqual" allowBlank="1" showInputMessage="1" showErrorMessage="1" sqref="B18" xr:uid="{E293D140-E769-4A2D-BAFD-5334441CBA0B}"/>
    <dataValidation type="whole" allowBlank="1" showInputMessage="1" showErrorMessage="1" sqref="B16" xr:uid="{0082DFA5-F56F-4267-A07C-5CADF064AE63}">
      <formula1>60</formula1>
      <formula2>84</formula2>
    </dataValidation>
    <dataValidation type="list" allowBlank="1" showInputMessage="1" showErrorMessage="1" sqref="B12" xr:uid="{1A55F849-41C3-41EA-81F0-6E9220633259}">
      <formula1>"Micro Impresa,Piccola Impresa,Media Impresa,Grande Impresa"</formula1>
    </dataValidation>
    <dataValidation type="decimal" operator="lessThanOrEqual" allowBlank="1" showInputMessage="1" showErrorMessage="1" sqref="B14 B30" xr:uid="{7B72E528-2BAB-49A5-BAC4-AE297D5A8648}">
      <formula1>300000</formula1>
    </dataValidation>
    <dataValidation type="decimal" operator="greaterThanOrEqual" allowBlank="1" showInputMessage="1" showErrorMessage="1" sqref="B10" xr:uid="{F5CF93FA-8997-4F7F-A3EE-98EB2E64A722}">
      <formula1>50000</formula1>
    </dataValidation>
    <dataValidation type="list" operator="greaterThanOrEqual" allowBlank="1" showInputMessage="1" showErrorMessage="1" sqref="B11:B12" xr:uid="{6F00C0B9-5B51-4A72-9656-0FA3C5130105}">
      <formula1>"1,2,3"</formula1>
    </dataValidation>
    <dataValidation operator="greaterThanOrEqual" allowBlank="1" showInputMessage="1" showErrorMessage="1" sqref="B13" xr:uid="{794D843E-94A2-4167-B07B-BB86FD00520A}"/>
    <dataValidation type="whole" operator="greaterThan" allowBlank="1" showInputMessage="1" showErrorMessage="1" sqref="B17 B20" xr:uid="{F2822206-5255-48F6-8015-1A90087A8FEA}">
      <formula1>0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B3AC-52E0-468F-82BB-85CA4A8EFFCA}">
  <dimension ref="A1:Q29"/>
  <sheetViews>
    <sheetView zoomScale="85" zoomScaleNormal="85" workbookViewId="0">
      <selection activeCell="P24" sqref="P24"/>
    </sheetView>
  </sheetViews>
  <sheetFormatPr defaultRowHeight="13.2" x14ac:dyDescent="0.25"/>
  <cols>
    <col min="1" max="1" width="10.77734375" bestFit="1" customWidth="1"/>
    <col min="2" max="2" width="12.77734375" bestFit="1" customWidth="1"/>
    <col min="3" max="3" width="12.21875" bestFit="1" customWidth="1"/>
    <col min="4" max="4" width="14.21875" bestFit="1" customWidth="1"/>
    <col min="5" max="5" width="12" bestFit="1" customWidth="1"/>
    <col min="6" max="6" width="12.77734375" bestFit="1" customWidth="1"/>
    <col min="7" max="7" width="40.5546875" customWidth="1"/>
    <col min="8" max="8" width="2" bestFit="1" customWidth="1"/>
    <col min="9" max="9" width="5.21875" customWidth="1"/>
    <col min="10" max="10" width="10.77734375" bestFit="1" customWidth="1"/>
    <col min="11" max="11" width="12.77734375" bestFit="1" customWidth="1"/>
    <col min="12" max="12" width="12.21875" bestFit="1" customWidth="1"/>
    <col min="13" max="13" width="14.21875" bestFit="1" customWidth="1"/>
    <col min="14" max="14" width="12" bestFit="1" customWidth="1"/>
    <col min="15" max="15" width="12.77734375" bestFit="1" customWidth="1"/>
    <col min="16" max="16" width="39.6640625" customWidth="1"/>
    <col min="17" max="17" width="2" bestFit="1" customWidth="1"/>
  </cols>
  <sheetData>
    <row r="1" spans="1:17" ht="13.8" x14ac:dyDescent="0.25">
      <c r="A1" s="51" t="s">
        <v>1</v>
      </c>
      <c r="B1" s="52"/>
      <c r="C1" s="52"/>
      <c r="D1" s="52"/>
      <c r="E1" s="52"/>
      <c r="F1" s="52"/>
      <c r="G1" s="53"/>
      <c r="J1" s="51" t="s">
        <v>9</v>
      </c>
      <c r="K1" s="52"/>
      <c r="L1" s="52"/>
      <c r="M1" s="52"/>
      <c r="N1" s="52"/>
      <c r="O1" s="52"/>
      <c r="P1" s="53"/>
    </row>
    <row r="2" spans="1:17" ht="13.8" x14ac:dyDescent="0.25">
      <c r="A2" s="40" t="s">
        <v>3</v>
      </c>
      <c r="B2" s="40" t="s">
        <v>4</v>
      </c>
      <c r="C2" s="40" t="s">
        <v>5</v>
      </c>
      <c r="D2" s="40" t="s">
        <v>6</v>
      </c>
      <c r="E2" s="40" t="s">
        <v>7</v>
      </c>
      <c r="F2" s="40" t="s">
        <v>8</v>
      </c>
      <c r="G2" s="41" t="s">
        <v>2</v>
      </c>
      <c r="J2" s="40" t="s">
        <v>3</v>
      </c>
      <c r="K2" s="40" t="s">
        <v>4</v>
      </c>
      <c r="L2" s="40" t="s">
        <v>5</v>
      </c>
      <c r="M2" s="40" t="s">
        <v>6</v>
      </c>
      <c r="N2" s="40" t="s">
        <v>7</v>
      </c>
      <c r="O2" s="40" t="s">
        <v>8</v>
      </c>
      <c r="P2" s="41" t="s">
        <v>2</v>
      </c>
    </row>
    <row r="3" spans="1:17" x14ac:dyDescent="0.25">
      <c r="A3" s="42">
        <f>IF('FNC-ENERG_prospetto riassuntivo'!B19=0,0,1)</f>
        <v>1</v>
      </c>
      <c r="B3" s="43">
        <f>'FNC-ENERG_prospetto riassuntivo'!$B$15*'FNC-ENERG_prospetto riassuntivo'!$B$26*H3</f>
        <v>1761.3749999999998</v>
      </c>
      <c r="C3" s="43">
        <v>0</v>
      </c>
      <c r="D3" s="43">
        <f t="shared" ref="D3:D6" si="0">B3</f>
        <v>1761.3749999999998</v>
      </c>
      <c r="E3" s="43">
        <v>0</v>
      </c>
      <c r="F3" s="43">
        <f>'FNC-ENERG_prospetto riassuntivo'!$B$15</f>
        <v>105000</v>
      </c>
      <c r="G3" s="43">
        <f>B3/
((1+IFERROR(SUM('FNC-ENERG_prospetto riassuntivo'!$B$23,'FNC-ENERG_prospetto riassuntivo'!$B$25)
/
'FNC-ENERG_prospetto riassuntivo'!$B$17,0))
^A3)</f>
        <v>1745.1883777959426</v>
      </c>
      <c r="H3">
        <f>IF(A3=0,0,IF(OR(A3&lt;'FNC-ENERG_prospetto riassuntivo'!$B$19,A3='FNC-ENERG_prospetto riassuntivo'!$B$19),1,0))</f>
        <v>1</v>
      </c>
      <c r="J3" s="42">
        <f>MAX(A3:A38)+1</f>
        <v>3</v>
      </c>
      <c r="K3" s="43">
        <f>'FNC-ENERG_prospetto riassuntivo'!$B$15*'FNC-ENERG_prospetto riassuntivo'!$B$27*Q3</f>
        <v>1761.3749999999998</v>
      </c>
      <c r="L3" s="43">
        <f t="shared" ref="L3:L26" si="1">M3-K3</f>
        <v>5045.3246791077481</v>
      </c>
      <c r="M3" s="43">
        <f>-PMT('FNC-ENERG_prospetto riassuntivo'!B27,'FNC-ENERG_prospetto riassuntivo'!B22,'FNC-ENERG_prospetto riassuntivo'!B15,,0)</f>
        <v>6806.6996791077481</v>
      </c>
      <c r="N3" s="43">
        <f>(L3)*Q3</f>
        <v>5045.3246791077481</v>
      </c>
      <c r="O3" s="43">
        <f>('FNC-ENERG_prospetto riassuntivo'!$B$15-N3)*Q3</f>
        <v>99954.675320892246</v>
      </c>
      <c r="P3" s="43">
        <f>K3/(1+SUM('FNC-ENERG_prospetto riassuntivo'!$B$23,'FNC-ENERG_prospetto riassuntivo'!$B$25)/'FNC-ENERG_prospetto riassuntivo'!$B$20)^J3</f>
        <v>1713.2600201579908</v>
      </c>
      <c r="Q3">
        <f>IF(J3=0,0,IF(OR(J3&lt;'FNC-ENERG_prospetto riassuntivo'!$B$19+'FNC-ENERG_prospetto riassuntivo'!$B$22,J3='FNC-ENERG_prospetto riassuntivo'!$B$19+'FNC-ENERG_prospetto riassuntivo'!$B$22),1,0))</f>
        <v>1</v>
      </c>
    </row>
    <row r="4" spans="1:17" x14ac:dyDescent="0.25">
      <c r="A4" s="42">
        <f>IF(A3=0,0,IF('FNC-ENERG_prospetto riassuntivo'!$B$19&gt;A3,A3+1,0))</f>
        <v>2</v>
      </c>
      <c r="B4" s="43">
        <f>'FNC-ENERG_prospetto riassuntivo'!$B$15*'FNC-ENERG_prospetto riassuntivo'!$B$26*H4</f>
        <v>1761.3749999999998</v>
      </c>
      <c r="C4" s="43">
        <v>0</v>
      </c>
      <c r="D4" s="43">
        <f t="shared" si="0"/>
        <v>1761.3749999999998</v>
      </c>
      <c r="E4" s="43">
        <v>0</v>
      </c>
      <c r="F4" s="43">
        <f>'FNC-ENERG_prospetto riassuntivo'!$B$15</f>
        <v>105000</v>
      </c>
      <c r="G4" s="43">
        <f>B4/((1+IFERROR(SUM('FNC-ENERG_prospetto riassuntivo'!$B$23,'FNC-ENERG_prospetto riassuntivo'!$B$25)/'FNC-ENERG_prospetto riassuntivo'!$B$17,0))^A4)</f>
        <v>1729.1505068449558</v>
      </c>
      <c r="H4">
        <f>IF(A4=0,0,IF(OR(A4&lt;'FNC-ENERG_prospetto riassuntivo'!$B$19,A4='FNC-ENERG_prospetto riassuntivo'!$B$19),1,0))</f>
        <v>1</v>
      </c>
      <c r="J4" s="42">
        <f>IF(J3=0,0,IF('FNC-ENERG_prospetto riassuntivo'!$B$19+'FNC-ENERG_prospetto riassuntivo'!$B$22&gt;J3,J3+1,0))</f>
        <v>4</v>
      </c>
      <c r="K4" s="43">
        <f>O3*'FNC-ENERG_prospetto riassuntivo'!$B$27*Q4</f>
        <v>1676.7396785079673</v>
      </c>
      <c r="L4" s="43">
        <f t="shared" si="1"/>
        <v>5129.9600005997809</v>
      </c>
      <c r="M4" s="43">
        <f t="shared" ref="M4:M26" si="2">$M$3*Q4</f>
        <v>6806.6996791077481</v>
      </c>
      <c r="N4" s="44">
        <f t="shared" ref="N4:N26" si="3">(L4+N3)*Q4</f>
        <v>10175.284679707529</v>
      </c>
      <c r="O4" s="43">
        <f>('FNC-ENERG_prospetto riassuntivo'!$B$15-N4)*Q4</f>
        <v>94824.715320292467</v>
      </c>
      <c r="P4" s="43">
        <f>K4/(1+SUM('FNC-ENERG_prospetto riassuntivo'!$B$23,'FNC-ENERG_prospetto riassuntivo'!$B$25)/'FNC-ENERG_prospetto riassuntivo'!$B$20)^J4</f>
        <v>1615.9487331680309</v>
      </c>
      <c r="Q4">
        <f>IF(J4=0,0,IF(OR(J4&lt;'FNC-ENERG_prospetto riassuntivo'!$B$19+'FNC-ENERG_prospetto riassuntivo'!$B$22,J4='FNC-ENERG_prospetto riassuntivo'!$B$19+'FNC-ENERG_prospetto riassuntivo'!$B$22),1,0))</f>
        <v>1</v>
      </c>
    </row>
    <row r="5" spans="1:17" x14ac:dyDescent="0.25">
      <c r="A5" s="42">
        <f>IF(A4=0,0,IF('FNC-ENERG_prospetto riassuntivo'!$B$19&gt;A4,A4+1,0))</f>
        <v>0</v>
      </c>
      <c r="B5" s="43">
        <f>'FNC-ENERG_prospetto riassuntivo'!$B$15*'FNC-ENERG_prospetto riassuntivo'!$B$26*H5</f>
        <v>0</v>
      </c>
      <c r="C5" s="43">
        <v>0</v>
      </c>
      <c r="D5" s="43">
        <f t="shared" si="0"/>
        <v>0</v>
      </c>
      <c r="E5" s="43">
        <v>0</v>
      </c>
      <c r="F5" s="43">
        <f>'FNC-ENERG_prospetto riassuntivo'!$B$15</f>
        <v>105000</v>
      </c>
      <c r="G5" s="43">
        <f>B5/((1+IFERROR(SUM('FNC-ENERG_prospetto riassuntivo'!$B$23,'FNC-ENERG_prospetto riassuntivo'!$B$25)/'FNC-ENERG_prospetto riassuntivo'!$B$17,0))^A5)</f>
        <v>0</v>
      </c>
      <c r="H5">
        <f>IF(A5=0,0,IF(OR(A5&lt;'FNC-ENERG_prospetto riassuntivo'!$B$19,A5='FNC-ENERG_prospetto riassuntivo'!$B$19),1,0))</f>
        <v>0</v>
      </c>
      <c r="J5" s="42">
        <f>IF(J4=0,0,IF('FNC-ENERG_prospetto riassuntivo'!$B$19+'FNC-ENERG_prospetto riassuntivo'!$B$22&gt;J4,J4+1,0))</f>
        <v>5</v>
      </c>
      <c r="K5" s="43">
        <f>O4*'FNC-ENERG_prospetto riassuntivo'!$B$27*Q5</f>
        <v>1590.684599497906</v>
      </c>
      <c r="L5" s="43">
        <f t="shared" si="1"/>
        <v>5216.0150796098424</v>
      </c>
      <c r="M5" s="43">
        <f t="shared" si="2"/>
        <v>6806.6996791077481</v>
      </c>
      <c r="N5" s="44">
        <f t="shared" si="3"/>
        <v>15391.299759317371</v>
      </c>
      <c r="O5" s="43">
        <f>('FNC-ENERG_prospetto riassuntivo'!$B$15-N5)*Q5</f>
        <v>89608.700240682636</v>
      </c>
      <c r="P5" s="43">
        <f>K5/(1+SUM('FNC-ENERG_prospetto riassuntivo'!$B$23,'FNC-ENERG_prospetto riassuntivo'!$B$25)/'FNC-ENERG_prospetto riassuntivo'!$B$20)^J5</f>
        <v>1518.9255846544825</v>
      </c>
      <c r="Q5">
        <f>IF(J5=0,0,IF(OR(J5&lt;'FNC-ENERG_prospetto riassuntivo'!$B$19+'FNC-ENERG_prospetto riassuntivo'!$B$22,J5='FNC-ENERG_prospetto riassuntivo'!$B$19+'FNC-ENERG_prospetto riassuntivo'!$B$22),1,0))</f>
        <v>1</v>
      </c>
    </row>
    <row r="6" spans="1:17" x14ac:dyDescent="0.25">
      <c r="A6" s="42">
        <f>IF(A5=0,0,IF('FNC-ENERG_prospetto riassuntivo'!$B$19&gt;A5,A5+1,0))</f>
        <v>0</v>
      </c>
      <c r="B6" s="43">
        <f>'FNC-ENERG_prospetto riassuntivo'!$B$15*'FNC-ENERG_prospetto riassuntivo'!$B$26*H6</f>
        <v>0</v>
      </c>
      <c r="C6" s="43">
        <v>0</v>
      </c>
      <c r="D6" s="43">
        <f t="shared" si="0"/>
        <v>0</v>
      </c>
      <c r="E6" s="43">
        <v>0</v>
      </c>
      <c r="F6" s="43">
        <f>'FNC-ENERG_prospetto riassuntivo'!$B$15</f>
        <v>105000</v>
      </c>
      <c r="G6" s="43">
        <f>B6/((1+IFERROR(SUM('FNC-ENERG_prospetto riassuntivo'!$B$23,'FNC-ENERG_prospetto riassuntivo'!$B$25)/'FNC-ENERG_prospetto riassuntivo'!$B$17,0))^A6)</f>
        <v>0</v>
      </c>
      <c r="H6">
        <f>IF(A6=0,0,IF(OR(A6&lt;'FNC-ENERG_prospetto riassuntivo'!$B$19,A6='FNC-ENERG_prospetto riassuntivo'!$B$19),1,0))</f>
        <v>0</v>
      </c>
      <c r="J6" s="42">
        <f>IF(J5=0,0,IF('FNC-ENERG_prospetto riassuntivo'!$B$19+'FNC-ENERG_prospetto riassuntivo'!$B$22&gt;J5,J5+1,0))</f>
        <v>6</v>
      </c>
      <c r="K6" s="43">
        <f>O5*'FNC-ENERG_prospetto riassuntivo'!$B$27*Q6</f>
        <v>1503.1859465374512</v>
      </c>
      <c r="L6" s="43">
        <f t="shared" si="1"/>
        <v>5303.5137325702972</v>
      </c>
      <c r="M6" s="43">
        <f t="shared" si="2"/>
        <v>6806.6996791077481</v>
      </c>
      <c r="N6" s="44">
        <f t="shared" si="3"/>
        <v>20694.813491887668</v>
      </c>
      <c r="O6" s="43">
        <f>('FNC-ENERG_prospetto riassuntivo'!$B$15-N6)*Q6</f>
        <v>84305.186508112325</v>
      </c>
      <c r="P6" s="43">
        <f>K6/(1+SUM('FNC-ENERG_prospetto riassuntivo'!$B$23,'FNC-ENERG_prospetto riassuntivo'!$B$25)/'FNC-ENERG_prospetto riassuntivo'!$B$20)^J6</f>
        <v>1422.183422498558</v>
      </c>
      <c r="Q6">
        <f>IF(J6=0,0,IF(OR(J6&lt;'FNC-ENERG_prospetto riassuntivo'!$B$19+'FNC-ENERG_prospetto riassuntivo'!$B$22,J6='FNC-ENERG_prospetto riassuntivo'!$B$19+'FNC-ENERG_prospetto riassuntivo'!$B$22),1,0))</f>
        <v>1</v>
      </c>
    </row>
    <row r="7" spans="1:17" x14ac:dyDescent="0.25">
      <c r="J7" s="42">
        <f>IF(J6=0,0,IF('FNC-ENERG_prospetto riassuntivo'!$B$19+'FNC-ENERG_prospetto riassuntivo'!$B$22&gt;J6,J6+1,0))</f>
        <v>7</v>
      </c>
      <c r="K7" s="43">
        <f>O6*'FNC-ENERG_prospetto riassuntivo'!$B$27*Q7</f>
        <v>1414.2195036735841</v>
      </c>
      <c r="L7" s="43">
        <f t="shared" si="1"/>
        <v>5392.4801754341643</v>
      </c>
      <c r="M7" s="43">
        <f t="shared" si="2"/>
        <v>6806.6996791077481</v>
      </c>
      <c r="N7" s="44">
        <f t="shared" si="3"/>
        <v>26087.293667321832</v>
      </c>
      <c r="O7" s="43">
        <f>('FNC-ENERG_prospetto riassuntivo'!$B$15-N7)*Q7</f>
        <v>78912.706332678164</v>
      </c>
      <c r="P7" s="43">
        <f>K7/(1+SUM('FNC-ENERG_prospetto riassuntivo'!$B$23,'FNC-ENERG_prospetto riassuntivo'!$B$25)/'FNC-ENERG_prospetto riassuntivo'!$B$20)^J7</f>
        <v>1325.7151268367481</v>
      </c>
      <c r="Q7">
        <f>IF(J7=0,0,IF(OR(J7&lt;'FNC-ENERG_prospetto riassuntivo'!$B$19+'FNC-ENERG_prospetto riassuntivo'!$B$22,J7='FNC-ENERG_prospetto riassuntivo'!$B$19+'FNC-ENERG_prospetto riassuntivo'!$B$22),1,0))</f>
        <v>1</v>
      </c>
    </row>
    <row r="8" spans="1:17" x14ac:dyDescent="0.25">
      <c r="J8" s="42">
        <f>IF(J7=0,0,IF('FNC-ENERG_prospetto riassuntivo'!$B$19+'FNC-ENERG_prospetto riassuntivo'!$B$22&gt;J7,J7+1,0))</f>
        <v>8</v>
      </c>
      <c r="K8" s="43">
        <f>O7*'FNC-ENERG_prospetto riassuntivo'!$B$27*Q8</f>
        <v>1323.7606487306762</v>
      </c>
      <c r="L8" s="43">
        <f t="shared" si="1"/>
        <v>5482.9390303770724</v>
      </c>
      <c r="M8" s="43">
        <f t="shared" si="2"/>
        <v>6806.6996791077481</v>
      </c>
      <c r="N8" s="44">
        <f t="shared" si="3"/>
        <v>31570.232697698906</v>
      </c>
      <c r="O8" s="43">
        <f>('FNC-ENERG_prospetto riassuntivo'!$B$15-N8)*Q8</f>
        <v>73429.767302301101</v>
      </c>
      <c r="P8" s="43">
        <f>K8/(1+SUM('FNC-ENERG_prospetto riassuntivo'!$B$23,'FNC-ENERG_prospetto riassuntivo'!$B$25)/'FNC-ENERG_prospetto riassuntivo'!$B$20)^J8</f>
        <v>1229.5136095156815</v>
      </c>
      <c r="Q8">
        <f>IF(J8=0,0,IF(OR(J8&lt;'FNC-ENERG_prospetto riassuntivo'!$B$19+'FNC-ENERG_prospetto riassuntivo'!$B$22,J8='FNC-ENERG_prospetto riassuntivo'!$B$19+'FNC-ENERG_prospetto riassuntivo'!$B$22),1,0))</f>
        <v>1</v>
      </c>
    </row>
    <row r="9" spans="1:17" x14ac:dyDescent="0.25">
      <c r="J9" s="42">
        <f>IF(J8=0,0,IF('FNC-ENERG_prospetto riassuntivo'!$B$19+'FNC-ENERG_prospetto riassuntivo'!$B$22&gt;J8,J8+1,0))</f>
        <v>9</v>
      </c>
      <c r="K9" s="43">
        <f>O8*'FNC-ENERG_prospetto riassuntivo'!$B$27*Q9</f>
        <v>1231.7843464961009</v>
      </c>
      <c r="L9" s="43">
        <f t="shared" si="1"/>
        <v>5574.9153326116475</v>
      </c>
      <c r="M9" s="43">
        <f t="shared" si="2"/>
        <v>6806.6996791077481</v>
      </c>
      <c r="N9" s="44">
        <f t="shared" si="3"/>
        <v>37145.148030310556</v>
      </c>
      <c r="O9" s="43">
        <f>('FNC-ENERG_prospetto riassuntivo'!$B$15-N9)*Q9</f>
        <v>67854.851969689451</v>
      </c>
      <c r="P9" s="43">
        <f>K9/(1+SUM('FNC-ENERG_prospetto riassuntivo'!$B$23,'FNC-ENERG_prospetto riassuntivo'!$B$25)/'FNC-ENERG_prospetto riassuntivo'!$B$20)^J9</f>
        <v>1133.5718135501386</v>
      </c>
      <c r="Q9">
        <f>IF(J9=0,0,IF(OR(J9&lt;'FNC-ENERG_prospetto riassuntivo'!$B$19+'FNC-ENERG_prospetto riassuntivo'!$B$22,J9='FNC-ENERG_prospetto riassuntivo'!$B$19+'FNC-ENERG_prospetto riassuntivo'!$B$22),1,0))</f>
        <v>1</v>
      </c>
    </row>
    <row r="10" spans="1:17" x14ac:dyDescent="0.25">
      <c r="J10" s="42">
        <f>IF(J9=0,0,IF('FNC-ENERG_prospetto riassuntivo'!$B$19+'FNC-ENERG_prospetto riassuntivo'!$B$22&gt;J9,J9+1,0))</f>
        <v>10</v>
      </c>
      <c r="K10" s="43">
        <f>O9*'FNC-ENERG_prospetto riassuntivo'!$B$27*Q10</f>
        <v>1138.2651417915404</v>
      </c>
      <c r="L10" s="43">
        <f t="shared" si="1"/>
        <v>5668.4345373162078</v>
      </c>
      <c r="M10" s="43">
        <f t="shared" si="2"/>
        <v>6806.6996791077481</v>
      </c>
      <c r="N10" s="44">
        <f t="shared" si="3"/>
        <v>42813.582567626763</v>
      </c>
      <c r="O10" s="43">
        <f>('FNC-ENERG_prospetto riassuntivo'!$B$15-N10)*Q10</f>
        <v>62186.417432373237</v>
      </c>
      <c r="P10" s="43">
        <f>K10/(1+SUM('FNC-ENERG_prospetto riassuntivo'!$B$23,'FNC-ENERG_prospetto riassuntivo'!$B$25)/'FNC-ENERG_prospetto riassuntivo'!$B$20)^J10</f>
        <v>1037.8827125841881</v>
      </c>
      <c r="Q10">
        <f>IF(J10=0,0,IF(OR(J10&lt;'FNC-ENERG_prospetto riassuntivo'!$B$19+'FNC-ENERG_prospetto riassuntivo'!$B$22,J10='FNC-ENERG_prospetto riassuntivo'!$B$19+'FNC-ENERG_prospetto riassuntivo'!$B$22),1,0))</f>
        <v>1</v>
      </c>
    </row>
    <row r="11" spans="1:17" x14ac:dyDescent="0.25">
      <c r="J11" s="42">
        <f>IF(J10=0,0,IF('FNC-ENERG_prospetto riassuntivo'!$B$19+'FNC-ENERG_prospetto riassuntivo'!$B$22&gt;J10,J10+1,0))</f>
        <v>11</v>
      </c>
      <c r="K11" s="43">
        <f>O10*'FNC-ENERG_prospetto riassuntivo'!$B$27*Q11</f>
        <v>1043.1771524280609</v>
      </c>
      <c r="L11" s="43">
        <f t="shared" si="1"/>
        <v>5763.522526679687</v>
      </c>
      <c r="M11" s="43">
        <f t="shared" si="2"/>
        <v>6806.6996791077481</v>
      </c>
      <c r="N11" s="44">
        <f t="shared" si="3"/>
        <v>48577.105094306447</v>
      </c>
      <c r="O11" s="43">
        <f>('FNC-ENERG_prospetto riassuntivo'!$B$15-N11)*Q11</f>
        <v>56422.894905693553</v>
      </c>
      <c r="P11" s="43">
        <f>K11/(1+SUM('FNC-ENERG_prospetto riassuntivo'!$B$23,'FNC-ENERG_prospetto riassuntivo'!$B$25)/'FNC-ENERG_prospetto riassuntivo'!$B$20)^J11</f>
        <v>942.43931035540083</v>
      </c>
      <c r="Q11">
        <f>IF(J11=0,0,IF(OR(J11&lt;'FNC-ENERG_prospetto riassuntivo'!$B$19+'FNC-ENERG_prospetto riassuntivo'!$B$22,J11='FNC-ENERG_prospetto riassuntivo'!$B$19+'FNC-ENERG_prospetto riassuntivo'!$B$22),1,0))</f>
        <v>1</v>
      </c>
    </row>
    <row r="12" spans="1:17" x14ac:dyDescent="0.25">
      <c r="J12" s="42">
        <f>IF(J11=0,0,IF('FNC-ENERG_prospetto riassuntivo'!$B$19+'FNC-ENERG_prospetto riassuntivo'!$B$22&gt;J11,J11+1,0))</f>
        <v>12</v>
      </c>
      <c r="K12" s="43">
        <f>O11*'FNC-ENERG_prospetto riassuntivo'!$B$27*Q12</f>
        <v>946.49406204300919</v>
      </c>
      <c r="L12" s="43">
        <f t="shared" si="1"/>
        <v>5860.2056170647393</v>
      </c>
      <c r="M12" s="43">
        <f t="shared" si="2"/>
        <v>6806.6996791077481</v>
      </c>
      <c r="N12" s="44">
        <f t="shared" si="3"/>
        <v>54437.310711371189</v>
      </c>
      <c r="O12" s="43">
        <f>('FNC-ENERG_prospetto riassuntivo'!$B$15-N12)*Q12</f>
        <v>50562.689288628811</v>
      </c>
      <c r="P12" s="43">
        <f>K12/(1+SUM('FNC-ENERG_prospetto riassuntivo'!$B$23,'FNC-ENERG_prospetto riassuntivo'!$B$25)/'FNC-ENERG_prospetto riassuntivo'!$B$20)^J12</f>
        <v>847.23464016209448</v>
      </c>
      <c r="Q12">
        <f>IF(J12=0,0,IF(OR(J12&lt;'FNC-ENERG_prospetto riassuntivo'!$B$19+'FNC-ENERG_prospetto riassuntivo'!$B$22,J12='FNC-ENERG_prospetto riassuntivo'!$B$19+'FNC-ENERG_prospetto riassuntivo'!$B$22),1,0))</f>
        <v>1</v>
      </c>
    </row>
    <row r="13" spans="1:17" x14ac:dyDescent="0.25">
      <c r="J13" s="42">
        <f>IF(J12=0,0,IF('FNC-ENERG_prospetto riassuntivo'!$B$19+'FNC-ENERG_prospetto riassuntivo'!$B$22&gt;J12,J12+1,0))</f>
        <v>13</v>
      </c>
      <c r="K13" s="43">
        <f>O12*'FNC-ENERG_prospetto riassuntivo'!$B$27*Q13</f>
        <v>848.18911281674821</v>
      </c>
      <c r="L13" s="43">
        <f t="shared" si="1"/>
        <v>5958.510566291</v>
      </c>
      <c r="M13" s="43">
        <f t="shared" si="2"/>
        <v>6806.6996791077481</v>
      </c>
      <c r="N13" s="44">
        <f t="shared" si="3"/>
        <v>60395.821277662188</v>
      </c>
      <c r="O13" s="43">
        <f>('FNC-ENERG_prospetto riassuntivo'!$B$15-N13)*Q13</f>
        <v>44604.178722337812</v>
      </c>
      <c r="P13" s="43">
        <f>K13/(1+SUM('FNC-ENERG_prospetto riassuntivo'!$B$23,'FNC-ENERG_prospetto riassuntivo'!$B$25)/'FNC-ENERG_prospetto riassuntivo'!$B$20)^J13</f>
        <v>752.2617643335717</v>
      </c>
      <c r="Q13">
        <f>IF(J13=0,0,IF(OR(J13&lt;'FNC-ENERG_prospetto riassuntivo'!$B$19+'FNC-ENERG_prospetto riassuntivo'!$B$22,J13='FNC-ENERG_prospetto riassuntivo'!$B$19+'FNC-ENERG_prospetto riassuntivo'!$B$22),1,0))</f>
        <v>1</v>
      </c>
    </row>
    <row r="14" spans="1:17" x14ac:dyDescent="0.25">
      <c r="J14" s="42">
        <f>IF(J13=0,0,IF('FNC-ENERG_prospetto riassuntivo'!$B$19+'FNC-ENERG_prospetto riassuntivo'!$B$22&gt;J13,J13+1,0))</f>
        <v>14</v>
      </c>
      <c r="K14" s="43">
        <f>O13*'FNC-ENERG_prospetto riassuntivo'!$B$27*Q14</f>
        <v>748.23509806721677</v>
      </c>
      <c r="L14" s="43">
        <f t="shared" si="1"/>
        <v>6058.4645810405309</v>
      </c>
      <c r="M14" s="43">
        <f t="shared" si="2"/>
        <v>6806.6996791077481</v>
      </c>
      <c r="N14" s="44">
        <f t="shared" si="3"/>
        <v>66454.285858702715</v>
      </c>
      <c r="O14" s="43">
        <f>('FNC-ENERG_prospetto riassuntivo'!$B$15-N14)*Q14</f>
        <v>38545.714141297285</v>
      </c>
      <c r="P14" s="43">
        <f>K14/(1+SUM('FNC-ENERG_prospetto riassuntivo'!$B$23,'FNC-ENERG_prospetto riassuntivo'!$B$25)/'FNC-ENERG_prospetto riassuntivo'!$B$20)^J14</f>
        <v>657.51377370331011</v>
      </c>
      <c r="Q14">
        <f>IF(J14=0,0,IF(OR(J14&lt;'FNC-ENERG_prospetto riassuntivo'!$B$19+'FNC-ENERG_prospetto riassuntivo'!$B$22,J14='FNC-ENERG_prospetto riassuntivo'!$B$19+'FNC-ENERG_prospetto riassuntivo'!$B$22),1,0))</f>
        <v>1</v>
      </c>
    </row>
    <row r="15" spans="1:17" x14ac:dyDescent="0.25">
      <c r="J15" s="42">
        <f>IF(J14=0,0,IF('FNC-ENERG_prospetto riassuntivo'!$B$19+'FNC-ENERG_prospetto riassuntivo'!$B$22&gt;J14,J14+1,0))</f>
        <v>15</v>
      </c>
      <c r="K15" s="43">
        <f>O14*'FNC-ENERG_prospetto riassuntivo'!$B$27*Q15</f>
        <v>646.60435472026188</v>
      </c>
      <c r="L15" s="43">
        <f t="shared" si="1"/>
        <v>6160.0953243874865</v>
      </c>
      <c r="M15" s="43">
        <f t="shared" si="2"/>
        <v>6806.6996791077481</v>
      </c>
      <c r="N15" s="44">
        <f t="shared" si="3"/>
        <v>72614.381183090198</v>
      </c>
      <c r="O15" s="43">
        <f>('FNC-ENERG_prospetto riassuntivo'!$B$15-N15)*Q15</f>
        <v>32385.618816909802</v>
      </c>
      <c r="P15" s="43">
        <f>K15/(1+SUM('FNC-ENERG_prospetto riassuntivo'!$B$23,'FNC-ENERG_prospetto riassuntivo'!$B$25)/'FNC-ENERG_prospetto riassuntivo'!$B$20)^J15</f>
        <v>562.98378708505766</v>
      </c>
      <c r="Q15">
        <f>IF(J15=0,0,IF(OR(J15&lt;'FNC-ENERG_prospetto riassuntivo'!$B$19+'FNC-ENERG_prospetto riassuntivo'!$B$22,J15='FNC-ENERG_prospetto riassuntivo'!$B$19+'FNC-ENERG_prospetto riassuntivo'!$B$22),1,0))</f>
        <v>1</v>
      </c>
    </row>
    <row r="16" spans="1:17" x14ac:dyDescent="0.25">
      <c r="J16" s="42">
        <f>IF(J15=0,0,IF('FNC-ENERG_prospetto riassuntivo'!$B$19+'FNC-ENERG_prospetto riassuntivo'!$B$22&gt;J15,J15+1,0))</f>
        <v>16</v>
      </c>
      <c r="K16" s="43">
        <f>O15*'FNC-ENERG_prospetto riassuntivo'!$B$27*Q16</f>
        <v>543.26875565366186</v>
      </c>
      <c r="L16" s="43">
        <f t="shared" si="1"/>
        <v>6263.430923454086</v>
      </c>
      <c r="M16" s="43">
        <f t="shared" si="2"/>
        <v>6806.6996791077481</v>
      </c>
      <c r="N16" s="44">
        <f t="shared" si="3"/>
        <v>78877.812106544283</v>
      </c>
      <c r="O16" s="43">
        <f>('FNC-ENERG_prospetto riassuntivo'!$B$15-N16)*Q16</f>
        <v>26122.187893455717</v>
      </c>
      <c r="P16" s="43">
        <f>K16/(1+SUM('FNC-ENERG_prospetto riassuntivo'!$B$23,'FNC-ENERG_prospetto riassuntivo'!$B$25)/'FNC-ENERG_prospetto riassuntivo'!$B$20)^J16</f>
        <v>468.66495075179967</v>
      </c>
      <c r="Q16">
        <f>IF(J16=0,0,IF(OR(J16&lt;'FNC-ENERG_prospetto riassuntivo'!$B$19+'FNC-ENERG_prospetto riassuntivo'!$B$22,J16='FNC-ENERG_prospetto riassuntivo'!$B$19+'FNC-ENERG_prospetto riassuntivo'!$B$22),1,0))</f>
        <v>1</v>
      </c>
    </row>
    <row r="17" spans="7:17" x14ac:dyDescent="0.25">
      <c r="J17" s="42">
        <f>IF(J16=0,0,IF('FNC-ENERG_prospetto riassuntivo'!$B$19+'FNC-ENERG_prospetto riassuntivo'!$B$22&gt;J16,J16+1,0))</f>
        <v>17</v>
      </c>
      <c r="K17" s="43">
        <f>O16*'FNC-ENERG_prospetto riassuntivo'!$B$27*Q17</f>
        <v>438.1997019127196</v>
      </c>
      <c r="L17" s="43">
        <f t="shared" si="1"/>
        <v>6368.4999771950288</v>
      </c>
      <c r="M17" s="43">
        <f t="shared" si="2"/>
        <v>6806.6996791077481</v>
      </c>
      <c r="N17" s="44">
        <f t="shared" si="3"/>
        <v>85246.312083739307</v>
      </c>
      <c r="O17" s="43">
        <f>('FNC-ENERG_prospetto riassuntivo'!$B$15-N17)*Q17</f>
        <v>19753.687916260693</v>
      </c>
      <c r="P17" s="43">
        <f>K17/(1+SUM('FNC-ENERG_prospetto riassuntivo'!$B$23,'FNC-ENERG_prospetto riassuntivo'!$B$25)/'FNC-ENERG_prospetto riassuntivo'!$B$20)^J17</f>
        <v>374.55043791755156</v>
      </c>
      <c r="Q17">
        <f>IF(J17=0,0,IF(OR(J17&lt;'FNC-ENERG_prospetto riassuntivo'!$B$19+'FNC-ENERG_prospetto riassuntivo'!$B$22,J17='FNC-ENERG_prospetto riassuntivo'!$B$19+'FNC-ENERG_prospetto riassuntivo'!$B$22),1,0))</f>
        <v>1</v>
      </c>
    </row>
    <row r="18" spans="7:17" x14ac:dyDescent="0.25">
      <c r="J18" s="42">
        <f>IF(J17=0,0,IF('FNC-ENERG_prospetto riassuntivo'!$B$19+'FNC-ENERG_prospetto riassuntivo'!$B$22&gt;J17,J17+1,0))</f>
        <v>18</v>
      </c>
      <c r="K18" s="43">
        <f>O17*'FNC-ENERG_prospetto riassuntivo'!$B$27*Q18</f>
        <v>331.36811479527307</v>
      </c>
      <c r="L18" s="43">
        <f t="shared" si="1"/>
        <v>6475.3315643124752</v>
      </c>
      <c r="M18" s="43">
        <f t="shared" si="2"/>
        <v>6806.6996791077481</v>
      </c>
      <c r="N18" s="44">
        <f t="shared" si="3"/>
        <v>91721.643648051788</v>
      </c>
      <c r="O18" s="43">
        <f>('FNC-ENERG_prospetto riassuntivo'!$B$15-N18)*Q18</f>
        <v>13278.356351948212</v>
      </c>
      <c r="P18" s="43">
        <f>K18/(1+SUM('FNC-ENERG_prospetto riassuntivo'!$B$23,'FNC-ENERG_prospetto riassuntivo'!$B$25)/'FNC-ENERG_prospetto riassuntivo'!$B$20)^J18</f>
        <v>280.63344822193693</v>
      </c>
      <c r="Q18">
        <f>IF(J18=0,0,IF(OR(J18&lt;'FNC-ENERG_prospetto riassuntivo'!$B$19+'FNC-ENERG_prospetto riassuntivo'!$B$22,J18='FNC-ENERG_prospetto riassuntivo'!$B$19+'FNC-ENERG_prospetto riassuntivo'!$B$22),1,0))</f>
        <v>1</v>
      </c>
    </row>
    <row r="19" spans="7:17" x14ac:dyDescent="0.25">
      <c r="J19" s="42">
        <f>IF(J18=0,0,IF('FNC-ENERG_prospetto riassuntivo'!$B$19+'FNC-ENERG_prospetto riassuntivo'!$B$22&gt;J18,J18+1,0))</f>
        <v>19</v>
      </c>
      <c r="K19" s="43">
        <f>O18*'FNC-ENERG_prospetto riassuntivo'!$B$27*Q19</f>
        <v>222.74442780393125</v>
      </c>
      <c r="L19" s="43">
        <f t="shared" si="1"/>
        <v>6583.955251303817</v>
      </c>
      <c r="M19" s="43">
        <f t="shared" si="2"/>
        <v>6806.6996791077481</v>
      </c>
      <c r="N19" s="44">
        <f t="shared" si="3"/>
        <v>98305.598899355609</v>
      </c>
      <c r="O19" s="43">
        <f>('FNC-ENERG_prospetto riassuntivo'!$B$15-N19)*Q19</f>
        <v>6694.4011006443907</v>
      </c>
      <c r="P19" s="43">
        <f>K19/(1+SUM('FNC-ENERG_prospetto riassuntivo'!$B$23,'FNC-ENERG_prospetto riassuntivo'!$B$25)/'FNC-ENERG_prospetto riassuntivo'!$B$20)^J19</f>
        <v>186.90720721751347</v>
      </c>
      <c r="Q19">
        <f>IF(J19=0,0,IF(OR(J19&lt;'FNC-ENERG_prospetto riassuntivo'!$B$19+'FNC-ENERG_prospetto riassuntivo'!$B$22,J19='FNC-ENERG_prospetto riassuntivo'!$B$19+'FNC-ENERG_prospetto riassuntivo'!$B$22),1,0))</f>
        <v>1</v>
      </c>
    </row>
    <row r="20" spans="7:17" x14ac:dyDescent="0.25">
      <c r="J20" s="42">
        <f>IF(J19=0,0,IF('FNC-ENERG_prospetto riassuntivo'!$B$19+'FNC-ENERG_prospetto riassuntivo'!$B$22&gt;J19,J19+1,0))</f>
        <v>20</v>
      </c>
      <c r="K20" s="43">
        <f>O19*'FNC-ENERG_prospetto riassuntivo'!$B$27*Q20</f>
        <v>112.29857846330964</v>
      </c>
      <c r="L20" s="43">
        <f t="shared" si="1"/>
        <v>6694.4011006444389</v>
      </c>
      <c r="M20" s="43">
        <f t="shared" si="2"/>
        <v>6806.6996791077481</v>
      </c>
      <c r="N20" s="44">
        <f t="shared" si="3"/>
        <v>105000.00000000004</v>
      </c>
      <c r="O20" s="43">
        <f>('FNC-ENERG_prospetto riassuntivo'!$B$15-N20)*Q20</f>
        <v>-4.3655745685100555E-11</v>
      </c>
      <c r="P20" s="43">
        <f>K20/(1+SUM('FNC-ENERG_prospetto riassuntivo'!$B$23,'FNC-ENERG_prospetto riassuntivo'!$B$25)/'FNC-ENERG_prospetto riassuntivo'!$B$20)^J20</f>
        <v>93.364965859805039</v>
      </c>
      <c r="Q20">
        <f>IF(J20=0,0,IF(OR(J20&lt;'FNC-ENERG_prospetto riassuntivo'!$B$19+'FNC-ENERG_prospetto riassuntivo'!$B$22,J20='FNC-ENERG_prospetto riassuntivo'!$B$19+'FNC-ENERG_prospetto riassuntivo'!$B$22),1,0))</f>
        <v>1</v>
      </c>
    </row>
    <row r="21" spans="7:17" x14ac:dyDescent="0.25">
      <c r="J21" s="42">
        <f>IF(J20=0,0,IF('FNC-ENERG_prospetto riassuntivo'!$B$19+'FNC-ENERG_prospetto riassuntivo'!$B$22&gt;J20,J20+1,0))</f>
        <v>0</v>
      </c>
      <c r="K21" s="43">
        <f>O20*'FNC-ENERG_prospetto riassuntivo'!$B$27*Q21</f>
        <v>0</v>
      </c>
      <c r="L21" s="43">
        <f t="shared" si="1"/>
        <v>0</v>
      </c>
      <c r="M21" s="43">
        <f t="shared" si="2"/>
        <v>0</v>
      </c>
      <c r="N21" s="44">
        <f t="shared" si="3"/>
        <v>0</v>
      </c>
      <c r="O21" s="43">
        <f>('FNC-ENERG_prospetto riassuntivo'!$B$15-N21)*Q21</f>
        <v>0</v>
      </c>
      <c r="P21" s="43">
        <f>K21/(1+SUM('FNC-ENERG_prospetto riassuntivo'!$B$23,'FNC-ENERG_prospetto riassuntivo'!$B$25)/'FNC-ENERG_prospetto riassuntivo'!$B$20)^J21</f>
        <v>0</v>
      </c>
      <c r="Q21">
        <f>IF(J21=0,0,IF(OR(J21&lt;'FNC-ENERG_prospetto riassuntivo'!$B$19+'FNC-ENERG_prospetto riassuntivo'!$B$22,J21='FNC-ENERG_prospetto riassuntivo'!$B$19+'FNC-ENERG_prospetto riassuntivo'!$B$22),1,0))</f>
        <v>0</v>
      </c>
    </row>
    <row r="22" spans="7:17" x14ac:dyDescent="0.25">
      <c r="J22" s="42">
        <f>IF(J21=0,0,IF('FNC-ENERG_prospetto riassuntivo'!$B$19+'FNC-ENERG_prospetto riassuntivo'!$B$22&gt;J21,J21+1,0))</f>
        <v>0</v>
      </c>
      <c r="K22" s="43">
        <f>O21*'FNC-ENERG_prospetto riassuntivo'!$B$27*Q22</f>
        <v>0</v>
      </c>
      <c r="L22" s="43">
        <f t="shared" si="1"/>
        <v>0</v>
      </c>
      <c r="M22" s="43">
        <f t="shared" si="2"/>
        <v>0</v>
      </c>
      <c r="N22" s="44">
        <f t="shared" si="3"/>
        <v>0</v>
      </c>
      <c r="O22" s="43">
        <f>('FNC-ENERG_prospetto riassuntivo'!$B$15-N22)*Q22</f>
        <v>0</v>
      </c>
      <c r="P22" s="43">
        <f>K22/(1+SUM('FNC-ENERG_prospetto riassuntivo'!$B$23,'FNC-ENERG_prospetto riassuntivo'!$B$25)/'FNC-ENERG_prospetto riassuntivo'!$B$20)^J22</f>
        <v>0</v>
      </c>
      <c r="Q22">
        <f>IF(J22=0,0,IF(OR(J22&lt;'FNC-ENERG_prospetto riassuntivo'!$B$19+'FNC-ENERG_prospetto riassuntivo'!$B$22,J22='FNC-ENERG_prospetto riassuntivo'!$B$19+'FNC-ENERG_prospetto riassuntivo'!$B$22),1,0))</f>
        <v>0</v>
      </c>
    </row>
    <row r="23" spans="7:17" x14ac:dyDescent="0.25">
      <c r="J23" s="42">
        <f>IF(J22=0,0,IF('FNC-ENERG_prospetto riassuntivo'!$B$19+'FNC-ENERG_prospetto riassuntivo'!$B$22&gt;J22,J22+1,0))</f>
        <v>0</v>
      </c>
      <c r="K23" s="43">
        <f>O22*'FNC-ENERG_prospetto riassuntivo'!$B$27*Q23</f>
        <v>0</v>
      </c>
      <c r="L23" s="43">
        <f t="shared" si="1"/>
        <v>0</v>
      </c>
      <c r="M23" s="43">
        <f t="shared" si="2"/>
        <v>0</v>
      </c>
      <c r="N23" s="44">
        <f t="shared" si="3"/>
        <v>0</v>
      </c>
      <c r="O23" s="43">
        <f>('FNC-ENERG_prospetto riassuntivo'!$B$15-N23)*Q23</f>
        <v>0</v>
      </c>
      <c r="P23" s="43">
        <f>K23/(1+SUM('FNC-ENERG_prospetto riassuntivo'!$B$23,'FNC-ENERG_prospetto riassuntivo'!$B$25)/'FNC-ENERG_prospetto riassuntivo'!$B$20)^J23</f>
        <v>0</v>
      </c>
      <c r="Q23">
        <f>IF(J23=0,0,IF(OR(J23&lt;'FNC-ENERG_prospetto riassuntivo'!$B$19+'FNC-ENERG_prospetto riassuntivo'!$B$22,J23='FNC-ENERG_prospetto riassuntivo'!$B$19+'FNC-ENERG_prospetto riassuntivo'!$B$22),1,0))</f>
        <v>0</v>
      </c>
    </row>
    <row r="24" spans="7:17" x14ac:dyDescent="0.25">
      <c r="J24" s="42">
        <f>IF(J23=0,0,IF('FNC-ENERG_prospetto riassuntivo'!$B$19+'FNC-ENERG_prospetto riassuntivo'!$B$22&gt;J23,J23+1,0))</f>
        <v>0</v>
      </c>
      <c r="K24" s="43">
        <f>O23*'FNC-ENERG_prospetto riassuntivo'!$B$27*Q24</f>
        <v>0</v>
      </c>
      <c r="L24" s="43">
        <f t="shared" si="1"/>
        <v>0</v>
      </c>
      <c r="M24" s="43">
        <f t="shared" si="2"/>
        <v>0</v>
      </c>
      <c r="N24" s="44">
        <f t="shared" si="3"/>
        <v>0</v>
      </c>
      <c r="O24" s="43">
        <f>('FNC-ENERG_prospetto riassuntivo'!$B$15-N24)*Q24</f>
        <v>0</v>
      </c>
      <c r="P24" s="43">
        <f>K24/(1+SUM('FNC-ENERG_prospetto riassuntivo'!$B$23,'FNC-ENERG_prospetto riassuntivo'!$B$25)/'FNC-ENERG_prospetto riassuntivo'!$B$20)^J24</f>
        <v>0</v>
      </c>
      <c r="Q24">
        <f>IF(J24=0,0,IF(OR(J24&lt;'FNC-ENERG_prospetto riassuntivo'!$B$19+'FNC-ENERG_prospetto riassuntivo'!$B$22,J24='FNC-ENERG_prospetto riassuntivo'!$B$19+'FNC-ENERG_prospetto riassuntivo'!$B$22),1,0))</f>
        <v>0</v>
      </c>
    </row>
    <row r="25" spans="7:17" x14ac:dyDescent="0.25">
      <c r="J25" s="42">
        <f>IF(J24=0,0,IF('FNC-ENERG_prospetto riassuntivo'!$B$19+'FNC-ENERG_prospetto riassuntivo'!$B$22&gt;J24,J24+1,0))</f>
        <v>0</v>
      </c>
      <c r="K25" s="43">
        <f>O24*'FNC-ENERG_prospetto riassuntivo'!$B$27*Q25</f>
        <v>0</v>
      </c>
      <c r="L25" s="43">
        <f t="shared" si="1"/>
        <v>0</v>
      </c>
      <c r="M25" s="43">
        <f t="shared" si="2"/>
        <v>0</v>
      </c>
      <c r="N25" s="44">
        <f t="shared" si="3"/>
        <v>0</v>
      </c>
      <c r="O25" s="43">
        <f>('FNC-ENERG_prospetto riassuntivo'!$B$15-N25)*Q25</f>
        <v>0</v>
      </c>
      <c r="P25" s="43">
        <f>K25/(1+SUM('FNC-ENERG_prospetto riassuntivo'!$B$23,'FNC-ENERG_prospetto riassuntivo'!$B$25)/'FNC-ENERG_prospetto riassuntivo'!$B$20)^J25</f>
        <v>0</v>
      </c>
      <c r="Q25">
        <f>IF(J25=0,0,IF(OR(J25&lt;'FNC-ENERG_prospetto riassuntivo'!$B$19+'FNC-ENERG_prospetto riassuntivo'!$B$22,J25='FNC-ENERG_prospetto riassuntivo'!$B$19+'FNC-ENERG_prospetto riassuntivo'!$B$22),1,0))</f>
        <v>0</v>
      </c>
    </row>
    <row r="26" spans="7:17" x14ac:dyDescent="0.25">
      <c r="J26" s="42">
        <f>IF(J25=0,0,IF('FNC-ENERG_prospetto riassuntivo'!$B$19+'FNC-ENERG_prospetto riassuntivo'!$B$22&gt;J25,J25+1,0))</f>
        <v>0</v>
      </c>
      <c r="K26" s="43">
        <f>O25*'FNC-ENERG_prospetto riassuntivo'!$B$27*Q26</f>
        <v>0</v>
      </c>
      <c r="L26" s="43">
        <f t="shared" si="1"/>
        <v>0</v>
      </c>
      <c r="M26" s="43">
        <f t="shared" si="2"/>
        <v>0</v>
      </c>
      <c r="N26" s="44">
        <f t="shared" si="3"/>
        <v>0</v>
      </c>
      <c r="O26" s="43">
        <f>('FNC-ENERG_prospetto riassuntivo'!$B$15-N26)*Q26</f>
        <v>0</v>
      </c>
      <c r="P26" s="43">
        <f>K26/(1+SUM('FNC-ENERG_prospetto riassuntivo'!$B$23,'FNC-ENERG_prospetto riassuntivo'!$B$25)/'FNC-ENERG_prospetto riassuntivo'!$B$20)^J26</f>
        <v>0</v>
      </c>
      <c r="Q26">
        <f>IF(J26=0,0,IF(OR(J26&lt;'FNC-ENERG_prospetto riassuntivo'!$B$19+'FNC-ENERG_prospetto riassuntivo'!$B$22,J26='FNC-ENERG_prospetto riassuntivo'!$B$19+'FNC-ENERG_prospetto riassuntivo'!$B$22),1,0))</f>
        <v>0</v>
      </c>
    </row>
    <row r="29" spans="7:17" x14ac:dyDescent="0.25">
      <c r="G29" s="50"/>
    </row>
  </sheetData>
  <mergeCells count="2">
    <mergeCell ref="A1:G1"/>
    <mergeCell ref="J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5416-89B1-4560-BBEF-47DA2D0C6BEA}">
  <dimension ref="A1:C12"/>
  <sheetViews>
    <sheetView workbookViewId="0">
      <selection activeCell="D34" sqref="D34"/>
    </sheetView>
  </sheetViews>
  <sheetFormatPr defaultRowHeight="13.2" x14ac:dyDescent="0.25"/>
  <cols>
    <col min="1" max="1" width="16.109375" bestFit="1" customWidth="1"/>
    <col min="2" max="2" width="11" bestFit="1" customWidth="1"/>
  </cols>
  <sheetData>
    <row r="1" spans="1:3" x14ac:dyDescent="0.25">
      <c r="A1" s="10" t="s">
        <v>33</v>
      </c>
    </row>
    <row r="2" spans="1:3" x14ac:dyDescent="0.25">
      <c r="A2" s="13" t="s">
        <v>30</v>
      </c>
      <c r="B2" s="13" t="s">
        <v>35</v>
      </c>
      <c r="C2" s="13" t="s">
        <v>32</v>
      </c>
    </row>
    <row r="3" spans="1:3" x14ac:dyDescent="0.25">
      <c r="A3" s="14">
        <v>1</v>
      </c>
      <c r="B3" s="12">
        <v>0.2</v>
      </c>
      <c r="C3" s="12">
        <v>0.2</v>
      </c>
    </row>
    <row r="4" spans="1:3" x14ac:dyDescent="0.25">
      <c r="A4" s="14">
        <v>2</v>
      </c>
      <c r="B4" s="12">
        <v>0.25</v>
      </c>
      <c r="C4" s="12">
        <v>0.35</v>
      </c>
    </row>
    <row r="5" spans="1:3" x14ac:dyDescent="0.25">
      <c r="A5" s="14">
        <v>3</v>
      </c>
      <c r="B5" s="12">
        <v>0.3</v>
      </c>
      <c r="C5" s="12">
        <v>0.4</v>
      </c>
    </row>
    <row r="8" spans="1:3" x14ac:dyDescent="0.25">
      <c r="A8" s="10" t="s">
        <v>34</v>
      </c>
    </row>
    <row r="9" spans="1:3" x14ac:dyDescent="0.25">
      <c r="A9" s="13" t="s">
        <v>30</v>
      </c>
      <c r="B9" s="13" t="s">
        <v>35</v>
      </c>
      <c r="C9" s="13" t="s">
        <v>32</v>
      </c>
    </row>
    <row r="10" spans="1:3" x14ac:dyDescent="0.25">
      <c r="A10" s="14">
        <v>1</v>
      </c>
      <c r="B10" s="12">
        <v>0.2</v>
      </c>
      <c r="C10" s="12">
        <v>0.4</v>
      </c>
    </row>
    <row r="11" spans="1:3" x14ac:dyDescent="0.25">
      <c r="A11" s="14">
        <v>2</v>
      </c>
      <c r="B11" s="12">
        <v>0.25</v>
      </c>
      <c r="C11" s="12">
        <v>0.55000000000000004</v>
      </c>
    </row>
    <row r="12" spans="1:3" x14ac:dyDescent="0.25">
      <c r="A12" s="14">
        <v>3</v>
      </c>
      <c r="B12" s="12">
        <v>0.3</v>
      </c>
      <c r="C12" s="12">
        <v>0.7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FNC-ENERG_prospetto riassuntivo</vt:lpstr>
      <vt:lpstr>FNC-ENERG_contributo interessi</vt:lpstr>
      <vt:lpstr>Fasce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Gusella</dc:creator>
  <cp:lastModifiedBy>Leopardi Livia</cp:lastModifiedBy>
  <dcterms:created xsi:type="dcterms:W3CDTF">2020-04-27T16:01:26Z</dcterms:created>
  <dcterms:modified xsi:type="dcterms:W3CDTF">2025-06-16T13:10:21Z</dcterms:modified>
</cp:coreProperties>
</file>