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0.1.101.241\rti-cfm\zz_patrimonializzazione\6_Condivisione allegati e REGOLAMENTO\"/>
    </mc:Choice>
  </mc:AlternateContent>
  <xr:revisionPtr revIDLastSave="0" documentId="13_ncr:1_{B22066FD-4B04-4B16-B534-D313F0216A83}" xr6:coauthVersionLast="47" xr6:coauthVersionMax="47" xr10:uidLastSave="{00000000-0000-0000-0000-000000000000}"/>
  <workbookProtection workbookAlgorithmName="SHA-512" workbookHashValue="QPsXzOK2uj1kHmr4sac0ylCa/v8thYYLXNXWJTgLGinAiefbGXq+mmiiQVPVA/NFW4EF1XygCoaTxJ/c9dB0hQ==" workbookSaltValue="HgrCrNBdnTvd8xHx+xp0sA==" workbookSpinCount="100000" lockStructure="1"/>
  <bookViews>
    <workbookView xWindow="-28920" yWindow="-120" windowWidth="29040" windowHeight="15720" tabRatio="847" xr2:uid="{00000000-000D-0000-FFFF-FFFF00000000}"/>
  </bookViews>
  <sheets>
    <sheet name="FNC-ORD_prospetto riassuntivo" sheetId="15" r:id="rId1"/>
    <sheet name="FNC-ORD_contributo interessi" sheetId="20" r:id="rId2"/>
    <sheet name="FNC-ORD_ESL riassicurazione" sheetId="21" r:id="rId3"/>
    <sheet name="Frequenza rate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5" l="1"/>
  <c r="B13" i="15"/>
  <c r="B33" i="15" s="1"/>
  <c r="B20" i="15" l="1"/>
  <c r="B21" i="15"/>
  <c r="A41" i="15"/>
  <c r="B16" i="15"/>
  <c r="A43" i="15" s="1"/>
  <c r="B12" i="21" l="1"/>
  <c r="B11" i="21" l="1"/>
  <c r="B4" i="21" l="1"/>
  <c r="B9" i="21"/>
  <c r="B8" i="21"/>
  <c r="B16" i="21" s="1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B10" i="21" l="1"/>
  <c r="B14" i="21"/>
  <c r="E17" i="21" s="1"/>
  <c r="E42" i="2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49" i="21"/>
  <c r="C16" i="21"/>
  <c r="E16" i="21" l="1"/>
  <c r="E23" i="21"/>
  <c r="E22" i="21"/>
  <c r="E21" i="21"/>
  <c r="D16" i="21"/>
  <c r="B17" i="21" s="1"/>
  <c r="C17" i="21" s="1"/>
  <c r="D17" i="21" s="1"/>
  <c r="B18" i="21" s="1"/>
  <c r="E20" i="21"/>
  <c r="E19" i="21"/>
  <c r="E18" i="21"/>
  <c r="A42" i="15"/>
  <c r="B28" i="15"/>
  <c r="B50" i="21" l="1"/>
  <c r="B51" i="21"/>
  <c r="C18" i="21"/>
  <c r="D18" i="21" s="1"/>
  <c r="B19" i="21" s="1"/>
  <c r="C19" i="21" l="1"/>
  <c r="D19" i="21" s="1"/>
  <c r="B20" i="21" s="1"/>
  <c r="B52" i="21"/>
  <c r="B53" i="21" l="1"/>
  <c r="C20" i="21"/>
  <c r="D20" i="21" s="1"/>
  <c r="B21" i="21" s="1"/>
  <c r="B54" i="21" l="1"/>
  <c r="C21" i="21"/>
  <c r="D21" i="21" s="1"/>
  <c r="B22" i="21" s="1"/>
  <c r="B55" i="21" l="1"/>
  <c r="C22" i="21"/>
  <c r="D22" i="21" s="1"/>
  <c r="B23" i="21" s="1"/>
  <c r="C23" i="21" l="1"/>
  <c r="D23" i="21" s="1"/>
  <c r="B24" i="21" s="1"/>
  <c r="B56" i="21"/>
  <c r="B57" i="21" l="1"/>
  <c r="C24" i="21"/>
  <c r="D24" i="21" s="1"/>
  <c r="B25" i="21" s="1"/>
  <c r="B58" i="21" l="1"/>
  <c r="C25" i="21"/>
  <c r="D25" i="21" s="1"/>
  <c r="B26" i="21" s="1"/>
  <c r="B59" i="21" l="1"/>
  <c r="C26" i="21"/>
  <c r="D26" i="21" s="1"/>
  <c r="B27" i="21" s="1"/>
  <c r="C27" i="21" l="1"/>
  <c r="D27" i="21" s="1"/>
  <c r="B28" i="21" s="1"/>
  <c r="B60" i="21"/>
  <c r="B61" i="21" l="1"/>
  <c r="C28" i="21"/>
  <c r="D28" i="21" s="1"/>
  <c r="B29" i="21" s="1"/>
  <c r="B62" i="21" l="1"/>
  <c r="C29" i="21"/>
  <c r="D29" i="21" s="1"/>
  <c r="B30" i="21" s="1"/>
  <c r="B63" i="21" l="1"/>
  <c r="C30" i="21"/>
  <c r="D30" i="21" s="1"/>
  <c r="B31" i="21" s="1"/>
  <c r="C31" i="21" l="1"/>
  <c r="D31" i="21" s="1"/>
  <c r="B32" i="21" s="1"/>
  <c r="B64" i="21"/>
  <c r="B65" i="21" l="1"/>
  <c r="C32" i="21"/>
  <c r="D32" i="21" s="1"/>
  <c r="B33" i="21" s="1"/>
  <c r="B66" i="21" l="1"/>
  <c r="C33" i="21"/>
  <c r="D33" i="21" s="1"/>
  <c r="B34" i="21" s="1"/>
  <c r="B67" i="21" l="1"/>
  <c r="C34" i="21"/>
  <c r="D34" i="21" s="1"/>
  <c r="B35" i="21" s="1"/>
  <c r="C35" i="21" l="1"/>
  <c r="D35" i="21" s="1"/>
  <c r="B36" i="21" s="1"/>
  <c r="B68" i="21"/>
  <c r="B69" i="21" l="1"/>
  <c r="C36" i="21"/>
  <c r="D36" i="21" s="1"/>
  <c r="B37" i="21" s="1"/>
  <c r="B70" i="21" l="1"/>
  <c r="C37" i="21"/>
  <c r="D37" i="21" s="1"/>
  <c r="B38" i="21" s="1"/>
  <c r="B71" i="21" l="1"/>
  <c r="C38" i="21"/>
  <c r="D38" i="21" s="1"/>
  <c r="B39" i="21" s="1"/>
  <c r="C39" i="21" l="1"/>
  <c r="D39" i="21" s="1"/>
  <c r="B40" i="21" s="1"/>
  <c r="B72" i="21"/>
  <c r="B73" i="21" l="1"/>
  <c r="C40" i="21"/>
  <c r="D40" i="21" s="1"/>
  <c r="B41" i="21" s="1"/>
  <c r="B74" i="21" l="1"/>
  <c r="C41" i="21"/>
  <c r="D41" i="21" s="1"/>
  <c r="B42" i="21" s="1"/>
  <c r="B75" i="21" l="1"/>
  <c r="C42" i="21"/>
  <c r="D42" i="21" s="1"/>
  <c r="B43" i="21" s="1"/>
  <c r="C43" i="21" l="1"/>
  <c r="D43" i="21" s="1"/>
  <c r="B44" i="21" s="1"/>
  <c r="B76" i="21"/>
  <c r="B77" i="21" l="1"/>
  <c r="C44" i="21"/>
  <c r="D44" i="21" s="1"/>
  <c r="B45" i="21" s="1"/>
  <c r="B78" i="21" l="1"/>
  <c r="B82" i="21" s="1"/>
  <c r="B85" i="21" s="1"/>
  <c r="D1" i="21" s="1"/>
  <c r="B37" i="15" s="1"/>
  <c r="C45" i="21"/>
  <c r="D45" i="21" s="1"/>
  <c r="B46" i="21" s="1"/>
  <c r="B79" i="21" s="1"/>
  <c r="B29" i="15" l="1"/>
  <c r="B27" i="15"/>
  <c r="B24" i="15"/>
  <c r="A3" i="20" s="1"/>
  <c r="H3" i="20" l="1"/>
  <c r="B3" i="20" s="1"/>
  <c r="A4" i="20"/>
  <c r="M3" i="20"/>
  <c r="A5" i="20" l="1"/>
  <c r="H4" i="20"/>
  <c r="B4" i="20" s="1"/>
  <c r="G3" i="20"/>
  <c r="D3" i="20"/>
  <c r="D4" i="20" l="1"/>
  <c r="G4" i="20"/>
  <c r="H5" i="20"/>
  <c r="B5" i="20" s="1"/>
  <c r="A6" i="20"/>
  <c r="G5" i="20" l="1"/>
  <c r="D5" i="20"/>
  <c r="A7" i="20"/>
  <c r="H6" i="20"/>
  <c r="B6" i="20" s="1"/>
  <c r="D6" i="20" l="1"/>
  <c r="G6" i="20"/>
  <c r="H7" i="20"/>
  <c r="B7" i="20" s="1"/>
  <c r="A8" i="20"/>
  <c r="G7" i="20" l="1"/>
  <c r="D7" i="20"/>
  <c r="A9" i="20"/>
  <c r="H8" i="20"/>
  <c r="B8" i="20" s="1"/>
  <c r="D8" i="20" l="1"/>
  <c r="G8" i="20"/>
  <c r="H9" i="20"/>
  <c r="B9" i="20" s="1"/>
  <c r="A10" i="20"/>
  <c r="G9" i="20" l="1"/>
  <c r="D9" i="20"/>
  <c r="A11" i="20"/>
  <c r="H10" i="20"/>
  <c r="B10" i="20" s="1"/>
  <c r="D10" i="20" l="1"/>
  <c r="G10" i="20"/>
  <c r="H11" i="20"/>
  <c r="B11" i="20" s="1"/>
  <c r="A12" i="20"/>
  <c r="A13" i="20" l="1"/>
  <c r="H12" i="20"/>
  <c r="B12" i="20" s="1"/>
  <c r="G11" i="20"/>
  <c r="D11" i="20"/>
  <c r="D12" i="20" l="1"/>
  <c r="G12" i="20"/>
  <c r="H13" i="20"/>
  <c r="B13" i="20" s="1"/>
  <c r="A14" i="20"/>
  <c r="A15" i="20" l="1"/>
  <c r="H14" i="20"/>
  <c r="B14" i="20" s="1"/>
  <c r="G13" i="20"/>
  <c r="D13" i="20"/>
  <c r="D14" i="20" l="1"/>
  <c r="G14" i="20"/>
  <c r="H15" i="20"/>
  <c r="B15" i="20" s="1"/>
  <c r="A16" i="20"/>
  <c r="A17" i="20" l="1"/>
  <c r="H16" i="20"/>
  <c r="B16" i="20" s="1"/>
  <c r="G15" i="20"/>
  <c r="D15" i="20"/>
  <c r="D16" i="20" l="1"/>
  <c r="G16" i="20"/>
  <c r="H17" i="20"/>
  <c r="B17" i="20" s="1"/>
  <c r="A18" i="20"/>
  <c r="A19" i="20" l="1"/>
  <c r="H18" i="20"/>
  <c r="B18" i="20" s="1"/>
  <c r="G17" i="20"/>
  <c r="D17" i="20"/>
  <c r="D18" i="20" l="1"/>
  <c r="G18" i="20"/>
  <c r="H19" i="20"/>
  <c r="B19" i="20" s="1"/>
  <c r="A20" i="20"/>
  <c r="A21" i="20" l="1"/>
  <c r="H20" i="20"/>
  <c r="B20" i="20" s="1"/>
  <c r="G19" i="20"/>
  <c r="D19" i="20"/>
  <c r="D20" i="20" l="1"/>
  <c r="G20" i="20"/>
  <c r="H21" i="20"/>
  <c r="B21" i="20" s="1"/>
  <c r="A22" i="20"/>
  <c r="G21" i="20" l="1"/>
  <c r="D21" i="20"/>
  <c r="A23" i="20"/>
  <c r="H22" i="20"/>
  <c r="B22" i="20" s="1"/>
  <c r="D22" i="20" l="1"/>
  <c r="G22" i="20"/>
  <c r="H23" i="20"/>
  <c r="B23" i="20" s="1"/>
  <c r="A24" i="20"/>
  <c r="A25" i="20" l="1"/>
  <c r="H24" i="20"/>
  <c r="B24" i="20" s="1"/>
  <c r="G23" i="20"/>
  <c r="D23" i="20"/>
  <c r="D24" i="20" l="1"/>
  <c r="G24" i="20"/>
  <c r="H25" i="20"/>
  <c r="B25" i="20" s="1"/>
  <c r="A26" i="20"/>
  <c r="H26" i="20" l="1"/>
  <c r="B26" i="20" s="1"/>
  <c r="J3" i="20"/>
  <c r="G25" i="20"/>
  <c r="D25" i="20"/>
  <c r="Q3" i="20" l="1"/>
  <c r="K3" i="20" s="1"/>
  <c r="J4" i="20"/>
  <c r="D26" i="20"/>
  <c r="G26" i="20"/>
  <c r="J5" i="20" l="1"/>
  <c r="Q4" i="20"/>
  <c r="M4" i="20" s="1"/>
  <c r="P3" i="20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Q10" i="20"/>
  <c r="M10" i="20" s="1"/>
  <c r="J11" i="20"/>
  <c r="P9" i="20" l="1"/>
  <c r="L9" i="20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J13" i="20"/>
  <c r="Q12" i="20"/>
  <c r="M12" i="20" s="1"/>
  <c r="P11" i="20" l="1"/>
  <c r="L11" i="20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J17" i="20"/>
  <c r="Q16" i="20"/>
  <c r="M16" i="20" s="1"/>
  <c r="P15" i="20" l="1"/>
  <c r="L15" i="20"/>
  <c r="N15" i="20" s="1"/>
  <c r="O15" i="20" s="1"/>
  <c r="K16" i="20" s="1"/>
  <c r="Q17" i="20"/>
  <c r="M17" i="20" s="1"/>
  <c r="J18" i="20"/>
  <c r="P16" i="20" l="1"/>
  <c r="L16" i="20"/>
  <c r="N16" i="20" s="1"/>
  <c r="O16" i="20" s="1"/>
  <c r="K17" i="20" s="1"/>
  <c r="Q18" i="20"/>
  <c r="M18" i="20" s="1"/>
  <c r="J19" i="20"/>
  <c r="P17" i="20" l="1"/>
  <c r="L17" i="20"/>
  <c r="N17" i="20" s="1"/>
  <c r="O17" i="20" s="1"/>
  <c r="K18" i="20" s="1"/>
  <c r="Q19" i="20"/>
  <c r="M19" i="20" s="1"/>
  <c r="J20" i="20"/>
  <c r="P18" i="20" l="1"/>
  <c r="L18" i="20"/>
  <c r="N18" i="20" s="1"/>
  <c r="O18" i="20" s="1"/>
  <c r="K19" i="20" s="1"/>
  <c r="J21" i="20"/>
  <c r="Q20" i="20"/>
  <c r="M20" i="20" s="1"/>
  <c r="P19" i="20" l="1"/>
  <c r="L19" i="20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J25" i="20"/>
  <c r="Q24" i="20"/>
  <c r="M24" i="20" s="1"/>
  <c r="P23" i="20" l="1"/>
  <c r="L23" i="20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J27" i="20"/>
  <c r="Q26" i="20"/>
  <c r="M26" i="20" s="1"/>
  <c r="L25" i="20" l="1"/>
  <c r="N25" i="20" s="1"/>
  <c r="O25" i="20" s="1"/>
  <c r="K26" i="20" s="1"/>
  <c r="J28" i="20"/>
  <c r="Q27" i="20"/>
  <c r="M27" i="20" s="1"/>
  <c r="P26" i="20" l="1"/>
  <c r="L26" i="20"/>
  <c r="N26" i="20" s="1"/>
  <c r="O26" i="20" s="1"/>
  <c r="K27" i="20" s="1"/>
  <c r="J29" i="20"/>
  <c r="Q28" i="20"/>
  <c r="M28" i="20" s="1"/>
  <c r="P27" i="20" l="1"/>
  <c r="L27" i="20"/>
  <c r="N27" i="20" s="1"/>
  <c r="O27" i="20" s="1"/>
  <c r="K28" i="20" s="1"/>
  <c r="J30" i="20"/>
  <c r="Q29" i="20"/>
  <c r="M29" i="20" s="1"/>
  <c r="P28" i="20" l="1"/>
  <c r="L28" i="20"/>
  <c r="N28" i="20" s="1"/>
  <c r="O28" i="20" s="1"/>
  <c r="K29" i="20" s="1"/>
  <c r="P29" i="20" s="1"/>
  <c r="J31" i="20"/>
  <c r="Q30" i="20"/>
  <c r="M30" i="20" s="1"/>
  <c r="L29" i="20" l="1"/>
  <c r="N29" i="20" s="1"/>
  <c r="O29" i="20" s="1"/>
  <c r="K30" i="20" s="1"/>
  <c r="P30" i="20" s="1"/>
  <c r="J32" i="20"/>
  <c r="Q31" i="20"/>
  <c r="M31" i="20" s="1"/>
  <c r="J33" i="20" l="1"/>
  <c r="Q32" i="20"/>
  <c r="M32" i="20" s="1"/>
  <c r="L30" i="20"/>
  <c r="N30" i="20" s="1"/>
  <c r="O30" i="20" s="1"/>
  <c r="K31" i="20" s="1"/>
  <c r="P31" i="20" s="1"/>
  <c r="J34" i="20" l="1"/>
  <c r="Q33" i="20"/>
  <c r="M33" i="20" s="1"/>
  <c r="L31" i="20"/>
  <c r="N31" i="20" s="1"/>
  <c r="O31" i="20" s="1"/>
  <c r="K32" i="20" s="1"/>
  <c r="P32" i="20" s="1"/>
  <c r="J35" i="20" l="1"/>
  <c r="Q34" i="20"/>
  <c r="M34" i="20" s="1"/>
  <c r="L32" i="20"/>
  <c r="N32" i="20" s="1"/>
  <c r="O32" i="20" s="1"/>
  <c r="K33" i="20" s="1"/>
  <c r="P33" i="20" s="1"/>
  <c r="J36" i="20" l="1"/>
  <c r="Q35" i="20"/>
  <c r="M35" i="20" s="1"/>
  <c r="L33" i="20"/>
  <c r="N33" i="20" s="1"/>
  <c r="O33" i="20" s="1"/>
  <c r="K34" i="20" s="1"/>
  <c r="P34" i="20" s="1"/>
  <c r="J37" i="20" l="1"/>
  <c r="Q36" i="20"/>
  <c r="M36" i="20" s="1"/>
  <c r="L34" i="20"/>
  <c r="N34" i="20" s="1"/>
  <c r="O34" i="20" s="1"/>
  <c r="K35" i="20" s="1"/>
  <c r="P35" i="20" s="1"/>
  <c r="J38" i="20" l="1"/>
  <c r="Q37" i="20"/>
  <c r="M37" i="20" s="1"/>
  <c r="L35" i="20"/>
  <c r="N35" i="20" s="1"/>
  <c r="O35" i="20" s="1"/>
  <c r="K36" i="20" s="1"/>
  <c r="P36" i="20" s="1"/>
  <c r="J39" i="20" l="1"/>
  <c r="Q38" i="20"/>
  <c r="M38" i="20" s="1"/>
  <c r="L36" i="20"/>
  <c r="N36" i="20" s="1"/>
  <c r="O36" i="20" s="1"/>
  <c r="K37" i="20" s="1"/>
  <c r="P37" i="20" s="1"/>
  <c r="J40" i="20" l="1"/>
  <c r="Q39" i="20"/>
  <c r="M39" i="20" s="1"/>
  <c r="L37" i="20"/>
  <c r="N37" i="20" s="1"/>
  <c r="O37" i="20" s="1"/>
  <c r="K38" i="20" s="1"/>
  <c r="P38" i="20" s="1"/>
  <c r="J41" i="20" l="1"/>
  <c r="Q40" i="20"/>
  <c r="M40" i="20" s="1"/>
  <c r="L38" i="20"/>
  <c r="N38" i="20" s="1"/>
  <c r="O38" i="20" s="1"/>
  <c r="K39" i="20" s="1"/>
  <c r="P39" i="20" s="1"/>
  <c r="J42" i="20" l="1"/>
  <c r="Q41" i="20"/>
  <c r="M41" i="20" s="1"/>
  <c r="L39" i="20"/>
  <c r="N39" i="20" s="1"/>
  <c r="O39" i="20" s="1"/>
  <c r="K40" i="20" s="1"/>
  <c r="P40" i="20" s="1"/>
  <c r="J43" i="20" l="1"/>
  <c r="Q42" i="20"/>
  <c r="M42" i="20" s="1"/>
  <c r="L40" i="20"/>
  <c r="N40" i="20" s="1"/>
  <c r="O40" i="20" s="1"/>
  <c r="K41" i="20" s="1"/>
  <c r="P41" i="20" s="1"/>
  <c r="J44" i="20" l="1"/>
  <c r="Q43" i="20"/>
  <c r="M43" i="20" s="1"/>
  <c r="L41" i="20"/>
  <c r="N41" i="20" s="1"/>
  <c r="O41" i="20" s="1"/>
  <c r="K42" i="20" s="1"/>
  <c r="P42" i="20" s="1"/>
  <c r="J45" i="20" l="1"/>
  <c r="Q44" i="20"/>
  <c r="M44" i="20" s="1"/>
  <c r="L42" i="20"/>
  <c r="N42" i="20" s="1"/>
  <c r="O42" i="20" s="1"/>
  <c r="K43" i="20" s="1"/>
  <c r="P43" i="20" s="1"/>
  <c r="J46" i="20" l="1"/>
  <c r="Q45" i="20"/>
  <c r="M45" i="20" s="1"/>
  <c r="L43" i="20"/>
  <c r="N43" i="20" s="1"/>
  <c r="O43" i="20" s="1"/>
  <c r="K44" i="20" s="1"/>
  <c r="P44" i="20" s="1"/>
  <c r="J47" i="20" l="1"/>
  <c r="Q46" i="20"/>
  <c r="M46" i="20" s="1"/>
  <c r="L44" i="20"/>
  <c r="N44" i="20" s="1"/>
  <c r="O44" i="20" s="1"/>
  <c r="K45" i="20" s="1"/>
  <c r="P45" i="20" s="1"/>
  <c r="J48" i="20" l="1"/>
  <c r="Q47" i="20"/>
  <c r="M47" i="20" s="1"/>
  <c r="L45" i="20"/>
  <c r="N45" i="20" s="1"/>
  <c r="O45" i="20" s="1"/>
  <c r="K46" i="20" s="1"/>
  <c r="P46" i="20" s="1"/>
  <c r="J49" i="20" l="1"/>
  <c r="Q48" i="20"/>
  <c r="M48" i="20" s="1"/>
  <c r="L46" i="20"/>
  <c r="N46" i="20" s="1"/>
  <c r="O46" i="20" s="1"/>
  <c r="K47" i="20" s="1"/>
  <c r="P47" i="20" s="1"/>
  <c r="L47" i="20" l="1"/>
  <c r="N47" i="20" s="1"/>
  <c r="O47" i="20" s="1"/>
  <c r="K48" i="20" s="1"/>
  <c r="P48" i="20" s="1"/>
  <c r="J50" i="20"/>
  <c r="Q49" i="20"/>
  <c r="M49" i="20" s="1"/>
  <c r="J51" i="20" l="1"/>
  <c r="Q50" i="20"/>
  <c r="M50" i="20" s="1"/>
  <c r="L48" i="20"/>
  <c r="N48" i="20" s="1"/>
  <c r="O48" i="20" s="1"/>
  <c r="K49" i="20" s="1"/>
  <c r="P49" i="20" s="1"/>
  <c r="J52" i="20" l="1"/>
  <c r="Q51" i="20"/>
  <c r="M51" i="20" s="1"/>
  <c r="L49" i="20"/>
  <c r="N49" i="20" s="1"/>
  <c r="O49" i="20" s="1"/>
  <c r="K50" i="20" s="1"/>
  <c r="P50" i="20" s="1"/>
  <c r="J53" i="20" l="1"/>
  <c r="Q52" i="20"/>
  <c r="M52" i="20" s="1"/>
  <c r="L50" i="20"/>
  <c r="N50" i="20" s="1"/>
  <c r="O50" i="20" s="1"/>
  <c r="K51" i="20" s="1"/>
  <c r="P51" i="20" s="1"/>
  <c r="J54" i="20" l="1"/>
  <c r="Q53" i="20"/>
  <c r="M53" i="20" s="1"/>
  <c r="L51" i="20"/>
  <c r="N51" i="20" s="1"/>
  <c r="O51" i="20" s="1"/>
  <c r="K52" i="20" s="1"/>
  <c r="P52" i="20" s="1"/>
  <c r="J55" i="20" l="1"/>
  <c r="Q54" i="20"/>
  <c r="M54" i="20" s="1"/>
  <c r="L52" i="20"/>
  <c r="N52" i="20" s="1"/>
  <c r="O52" i="20" s="1"/>
  <c r="K53" i="20" s="1"/>
  <c r="P53" i="20" s="1"/>
  <c r="J56" i="20" l="1"/>
  <c r="Q55" i="20"/>
  <c r="M55" i="20" s="1"/>
  <c r="L53" i="20"/>
  <c r="N53" i="20" s="1"/>
  <c r="O53" i="20" s="1"/>
  <c r="K54" i="20" s="1"/>
  <c r="P54" i="20" s="1"/>
  <c r="Q56" i="20" l="1"/>
  <c r="M56" i="20" s="1"/>
  <c r="J57" i="20"/>
  <c r="L54" i="20"/>
  <c r="N54" i="20" s="1"/>
  <c r="O54" i="20" s="1"/>
  <c r="K55" i="20" s="1"/>
  <c r="P55" i="20" s="1"/>
  <c r="L55" i="20" l="1"/>
  <c r="N55" i="20" s="1"/>
  <c r="O55" i="20" s="1"/>
  <c r="K56" i="20" s="1"/>
  <c r="P56" i="20" s="1"/>
  <c r="Q57" i="20"/>
  <c r="M57" i="20" s="1"/>
  <c r="J58" i="20"/>
  <c r="L56" i="20" l="1"/>
  <c r="N56" i="20" s="1"/>
  <c r="O56" i="20" s="1"/>
  <c r="K57" i="20" s="1"/>
  <c r="P57" i="20" s="1"/>
  <c r="Q58" i="20"/>
  <c r="M58" i="20" s="1"/>
  <c r="J59" i="20"/>
  <c r="L57" i="20" l="1"/>
  <c r="N57" i="20" s="1"/>
  <c r="O57" i="20" s="1"/>
  <c r="K58" i="20" s="1"/>
  <c r="P58" i="20" s="1"/>
  <c r="Q59" i="20"/>
  <c r="M59" i="20" s="1"/>
  <c r="J60" i="20"/>
  <c r="L58" i="20" l="1"/>
  <c r="N58" i="20" s="1"/>
  <c r="O58" i="20" s="1"/>
  <c r="K59" i="20" s="1"/>
  <c r="P59" i="20" s="1"/>
  <c r="Q60" i="20"/>
  <c r="M60" i="20" s="1"/>
  <c r="J61" i="20"/>
  <c r="L59" i="20" l="1"/>
  <c r="N59" i="20" s="1"/>
  <c r="O59" i="20" s="1"/>
  <c r="K60" i="20" s="1"/>
  <c r="P60" i="20" s="1"/>
  <c r="Q61" i="20"/>
  <c r="M61" i="20" s="1"/>
  <c r="J62" i="20"/>
  <c r="Q62" i="20" l="1"/>
  <c r="M62" i="20" s="1"/>
  <c r="J63" i="20"/>
  <c r="L60" i="20"/>
  <c r="N60" i="20" s="1"/>
  <c r="O60" i="20" s="1"/>
  <c r="K61" i="20" s="1"/>
  <c r="P61" i="20" s="1"/>
  <c r="L61" i="20" l="1"/>
  <c r="N61" i="20" s="1"/>
  <c r="O61" i="20" s="1"/>
  <c r="K62" i="20" s="1"/>
  <c r="P62" i="20" s="1"/>
  <c r="Q63" i="20"/>
  <c r="M63" i="20" s="1"/>
  <c r="J64" i="20"/>
  <c r="L62" i="20" l="1"/>
  <c r="N62" i="20" s="1"/>
  <c r="O62" i="20" s="1"/>
  <c r="K63" i="20" s="1"/>
  <c r="P63" i="20" s="1"/>
  <c r="Q64" i="20"/>
  <c r="M64" i="20" s="1"/>
  <c r="J65" i="20"/>
  <c r="L63" i="20" l="1"/>
  <c r="N63" i="20" s="1"/>
  <c r="O63" i="20" s="1"/>
  <c r="K64" i="20" s="1"/>
  <c r="P64" i="20" s="1"/>
  <c r="Q65" i="20"/>
  <c r="M65" i="20" s="1"/>
  <c r="J66" i="20"/>
  <c r="Q66" i="20" l="1"/>
  <c r="M66" i="20" s="1"/>
  <c r="J67" i="20"/>
  <c r="L64" i="20"/>
  <c r="N64" i="20" s="1"/>
  <c r="O64" i="20" s="1"/>
  <c r="K65" i="20" s="1"/>
  <c r="P65" i="20" s="1"/>
  <c r="L65" i="20" l="1"/>
  <c r="N65" i="20" s="1"/>
  <c r="O65" i="20" s="1"/>
  <c r="K66" i="20" s="1"/>
  <c r="P66" i="20" s="1"/>
  <c r="Q67" i="20"/>
  <c r="M67" i="20" s="1"/>
  <c r="J68" i="20"/>
  <c r="L66" i="20" l="1"/>
  <c r="N66" i="20" s="1"/>
  <c r="O66" i="20" s="1"/>
  <c r="K67" i="20" s="1"/>
  <c r="P67" i="20" s="1"/>
  <c r="Q68" i="20"/>
  <c r="M68" i="20" s="1"/>
  <c r="J69" i="20"/>
  <c r="L67" i="20" l="1"/>
  <c r="N67" i="20" s="1"/>
  <c r="O67" i="20" s="1"/>
  <c r="K68" i="20" s="1"/>
  <c r="P68" i="20" s="1"/>
  <c r="Q69" i="20"/>
  <c r="M69" i="20" s="1"/>
  <c r="J70" i="20"/>
  <c r="Q70" i="20" l="1"/>
  <c r="M70" i="20" s="1"/>
  <c r="J71" i="20"/>
  <c r="L68" i="20"/>
  <c r="N68" i="20" s="1"/>
  <c r="O68" i="20" s="1"/>
  <c r="K69" i="20" s="1"/>
  <c r="P69" i="20" s="1"/>
  <c r="L69" i="20" l="1"/>
  <c r="N69" i="20" s="1"/>
  <c r="O69" i="20" s="1"/>
  <c r="K70" i="20" s="1"/>
  <c r="P70" i="20" s="1"/>
  <c r="Q71" i="20"/>
  <c r="M71" i="20" s="1"/>
  <c r="J72" i="20"/>
  <c r="L70" i="20" l="1"/>
  <c r="N70" i="20" s="1"/>
  <c r="O70" i="20" s="1"/>
  <c r="K71" i="20" s="1"/>
  <c r="P71" i="20" s="1"/>
  <c r="Q72" i="20"/>
  <c r="M72" i="20" s="1"/>
  <c r="J73" i="20"/>
  <c r="L71" i="20" l="1"/>
  <c r="N71" i="20" s="1"/>
  <c r="O71" i="20" s="1"/>
  <c r="K72" i="20" s="1"/>
  <c r="P72" i="20" s="1"/>
  <c r="Q73" i="20"/>
  <c r="M73" i="20" s="1"/>
  <c r="J74" i="20"/>
  <c r="Q74" i="20" l="1"/>
  <c r="M74" i="20" s="1"/>
  <c r="J75" i="20"/>
  <c r="L72" i="20"/>
  <c r="N72" i="20" s="1"/>
  <c r="O72" i="20" s="1"/>
  <c r="K73" i="20" s="1"/>
  <c r="P73" i="20" s="1"/>
  <c r="L73" i="20" l="1"/>
  <c r="N73" i="20" s="1"/>
  <c r="O73" i="20" s="1"/>
  <c r="K74" i="20" s="1"/>
  <c r="P74" i="20" s="1"/>
  <c r="Q75" i="20"/>
  <c r="M75" i="20" s="1"/>
  <c r="J76" i="20"/>
  <c r="L74" i="20" l="1"/>
  <c r="N74" i="20" s="1"/>
  <c r="O74" i="20" s="1"/>
  <c r="K75" i="20" s="1"/>
  <c r="P75" i="20" s="1"/>
  <c r="Q76" i="20"/>
  <c r="M76" i="20" s="1"/>
  <c r="J77" i="20"/>
  <c r="L75" i="20" l="1"/>
  <c r="N75" i="20" s="1"/>
  <c r="O75" i="20" s="1"/>
  <c r="K76" i="20" s="1"/>
  <c r="P76" i="20" s="1"/>
  <c r="Q77" i="20"/>
  <c r="M77" i="20" s="1"/>
  <c r="J78" i="20"/>
  <c r="Q78" i="20" l="1"/>
  <c r="M78" i="20" s="1"/>
  <c r="J79" i="20"/>
  <c r="L76" i="20"/>
  <c r="N76" i="20" s="1"/>
  <c r="O76" i="20" s="1"/>
  <c r="K77" i="20" s="1"/>
  <c r="P77" i="20" s="1"/>
  <c r="Q79" i="20" l="1"/>
  <c r="M79" i="20" s="1"/>
  <c r="J80" i="20"/>
  <c r="L77" i="20"/>
  <c r="N77" i="20" s="1"/>
  <c r="O77" i="20" s="1"/>
  <c r="K78" i="20" s="1"/>
  <c r="P78" i="20" s="1"/>
  <c r="L78" i="20" l="1"/>
  <c r="N78" i="20" s="1"/>
  <c r="O78" i="20" s="1"/>
  <c r="K79" i="20" s="1"/>
  <c r="P79" i="20" s="1"/>
  <c r="Q80" i="20"/>
  <c r="M80" i="20" s="1"/>
  <c r="J81" i="20"/>
  <c r="L79" i="20" l="1"/>
  <c r="N79" i="20" s="1"/>
  <c r="O79" i="20" s="1"/>
  <c r="K80" i="20" s="1"/>
  <c r="P80" i="20" s="1"/>
  <c r="Q81" i="20"/>
  <c r="M81" i="20" s="1"/>
  <c r="J82" i="20"/>
  <c r="L80" i="20" l="1"/>
  <c r="N80" i="20" s="1"/>
  <c r="O80" i="20" s="1"/>
  <c r="K81" i="20" s="1"/>
  <c r="P81" i="20" s="1"/>
  <c r="Q82" i="20"/>
  <c r="M82" i="20" s="1"/>
  <c r="J83" i="20"/>
  <c r="Q83" i="20" l="1"/>
  <c r="M83" i="20" s="1"/>
  <c r="J84" i="20"/>
  <c r="L81" i="20"/>
  <c r="N81" i="20" s="1"/>
  <c r="O81" i="20" s="1"/>
  <c r="K82" i="20" s="1"/>
  <c r="P82" i="20" s="1"/>
  <c r="L82" i="20" l="1"/>
  <c r="N82" i="20" s="1"/>
  <c r="O82" i="20" s="1"/>
  <c r="K83" i="20" s="1"/>
  <c r="P83" i="20" s="1"/>
  <c r="Q84" i="20"/>
  <c r="M84" i="20" s="1"/>
  <c r="J85" i="20"/>
  <c r="L83" i="20" l="1"/>
  <c r="N83" i="20" s="1"/>
  <c r="O83" i="20" s="1"/>
  <c r="K84" i="20" s="1"/>
  <c r="P84" i="20" s="1"/>
  <c r="Q85" i="20"/>
  <c r="M85" i="20" s="1"/>
  <c r="J86" i="20"/>
  <c r="Q86" i="20" l="1"/>
  <c r="M86" i="20" s="1"/>
  <c r="J87" i="20"/>
  <c r="L84" i="20"/>
  <c r="N84" i="20" s="1"/>
  <c r="O84" i="20" s="1"/>
  <c r="K85" i="20" s="1"/>
  <c r="P85" i="20" s="1"/>
  <c r="Q87" i="20" l="1"/>
  <c r="M87" i="20" s="1"/>
  <c r="J88" i="20"/>
  <c r="L85" i="20"/>
  <c r="N85" i="20" s="1"/>
  <c r="O85" i="20" s="1"/>
  <c r="K86" i="20" s="1"/>
  <c r="P86" i="20" s="1"/>
  <c r="L86" i="20" l="1"/>
  <c r="N86" i="20" s="1"/>
  <c r="O86" i="20" s="1"/>
  <c r="K87" i="20" s="1"/>
  <c r="P87" i="20" s="1"/>
  <c r="Q88" i="20"/>
  <c r="M88" i="20" s="1"/>
  <c r="J89" i="20"/>
  <c r="L87" i="20" l="1"/>
  <c r="N87" i="20" s="1"/>
  <c r="O87" i="20" s="1"/>
  <c r="K88" i="20" s="1"/>
  <c r="P88" i="20" s="1"/>
  <c r="Q89" i="20"/>
  <c r="M89" i="20" s="1"/>
  <c r="J90" i="20"/>
  <c r="Q90" i="20" l="1"/>
  <c r="M90" i="20" s="1"/>
  <c r="J91" i="20"/>
  <c r="L88" i="20"/>
  <c r="N88" i="20" s="1"/>
  <c r="O88" i="20" s="1"/>
  <c r="K89" i="20" s="1"/>
  <c r="P89" i="20" s="1"/>
  <c r="L89" i="20" l="1"/>
  <c r="N89" i="20" s="1"/>
  <c r="O89" i="20" s="1"/>
  <c r="K90" i="20" s="1"/>
  <c r="P90" i="20" s="1"/>
  <c r="Q91" i="20"/>
  <c r="M91" i="20" s="1"/>
  <c r="J92" i="20"/>
  <c r="L90" i="20" l="1"/>
  <c r="N90" i="20" s="1"/>
  <c r="O90" i="20" s="1"/>
  <c r="K91" i="20" s="1"/>
  <c r="P91" i="20" s="1"/>
  <c r="Q92" i="20"/>
  <c r="M92" i="20" s="1"/>
  <c r="J93" i="20"/>
  <c r="Q93" i="20" l="1"/>
  <c r="M93" i="20" s="1"/>
  <c r="J94" i="20"/>
  <c r="L91" i="20"/>
  <c r="N91" i="20" s="1"/>
  <c r="O91" i="20" s="1"/>
  <c r="K92" i="20" s="1"/>
  <c r="P92" i="20" s="1"/>
  <c r="L92" i="20" l="1"/>
  <c r="N92" i="20" s="1"/>
  <c r="O92" i="20" s="1"/>
  <c r="K93" i="20" s="1"/>
  <c r="P93" i="20" s="1"/>
  <c r="Q94" i="20"/>
  <c r="M94" i="20" s="1"/>
  <c r="J95" i="20"/>
  <c r="L93" i="20" l="1"/>
  <c r="N93" i="20" s="1"/>
  <c r="O93" i="20" s="1"/>
  <c r="K94" i="20" s="1"/>
  <c r="P94" i="20" s="1"/>
  <c r="Q95" i="20"/>
  <c r="M95" i="20" s="1"/>
  <c r="J96" i="20"/>
  <c r="L94" i="20" l="1"/>
  <c r="N94" i="20" s="1"/>
  <c r="O94" i="20" s="1"/>
  <c r="K95" i="20" s="1"/>
  <c r="P95" i="20" s="1"/>
  <c r="Q96" i="20"/>
  <c r="M96" i="20" s="1"/>
  <c r="J97" i="20"/>
  <c r="L95" i="20" l="1"/>
  <c r="N95" i="20" s="1"/>
  <c r="O95" i="20" s="1"/>
  <c r="K96" i="20" s="1"/>
  <c r="P96" i="20" s="1"/>
  <c r="Q97" i="20"/>
  <c r="M97" i="20" s="1"/>
  <c r="J98" i="20"/>
  <c r="Q98" i="20" s="1"/>
  <c r="M98" i="20" s="1"/>
  <c r="L96" i="20" l="1"/>
  <c r="N96" i="20" s="1"/>
  <c r="O96" i="20" s="1"/>
  <c r="K97" i="20" s="1"/>
  <c r="P97" i="20" s="1"/>
  <c r="L97" i="20" l="1"/>
  <c r="N97" i="20" s="1"/>
  <c r="O97" i="20" s="1"/>
  <c r="K98" i="20" s="1"/>
  <c r="P98" i="20" l="1"/>
  <c r="B34" i="15" s="1"/>
  <c r="B35" i="15" s="1"/>
  <c r="L98" i="20"/>
  <c r="N98" i="20" s="1"/>
  <c r="O98" i="20" s="1"/>
  <c r="B38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22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5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6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<sst xmlns="http://schemas.openxmlformats.org/spreadsheetml/2006/main" count="72" uniqueCount="63">
  <si>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</si>
  <si>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</si>
  <si>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</si>
  <si>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</si>
  <si>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</si>
  <si>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</si>
  <si>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</si>
  <si>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</si>
  <si>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</si>
  <si>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</si>
  <si>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</si>
  <si>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</si>
  <si>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</si>
  <si>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</si>
  <si>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</si>
  <si>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</si>
  <si>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</si>
  <si>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</si>
  <si>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</si>
  <si>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</si>
  <si>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</si>
  <si>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</si>
  <si>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</si>
  <si>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</si>
  <si>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</si>
  <si>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</si>
  <si>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</si>
  <si>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</si>
  <si>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</si>
  <si>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</si>
  <si>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</si>
  <si>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</si>
  <si>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</si>
  <si>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</si>
  <si>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</si>
  <si>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</si>
  <si>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</si>
  <si>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</si>
  <si>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</si>
  <si>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</si>
  <si>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</si>
  <si>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</si>
  <si>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</si>
  <si>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</si>
  <si>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</si>
  <si>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</si>
  <si>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</si>
  <si>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</si>
  <si>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Totale oneri Confidi (ad esclusione di azioni/quote/pegni/cauzioni)</t>
  </si>
  <si>
    <t>Altri oneri Confidi applicabili (ad eccezione della commissione di garanzia)</t>
  </si>
  <si>
    <t>Presenza FCG</t>
  </si>
  <si>
    <t>Percentuale garanzia I grado con FNC-ORD</t>
  </si>
  <si>
    <t>Percentuale garanzia I grado (totale)</t>
  </si>
  <si>
    <t>Percentuale garanzia I grado con FCG (se presente)</t>
  </si>
  <si>
    <t>TAN (max 2,5%) - pre amm.to</t>
  </si>
  <si>
    <t>TAN (max 2,5%) -  amm.to</t>
  </si>
  <si>
    <t>Importo Aumento Capitale Sociale Deliberato</t>
  </si>
  <si>
    <t xml:space="preserve">Tipologia operazione </t>
  </si>
  <si>
    <t>Linea B</t>
  </si>
  <si>
    <t>Linea A</t>
  </si>
  <si>
    <t>Importo Contributo c/investimenti</t>
  </si>
  <si>
    <t>NO</t>
  </si>
  <si>
    <t>ESL riassicurazione FNC-PAT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</si>
</sst>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</numFmts>
  <fonts count="26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9"/>
      <color indexed="81"/>
      <name val="Tahoma"/>
      <family val="2"/>
    </font>
    <font>
      <b/>
      <sz val="10.5"/>
      <color rgb="FFFF0000"/>
      <name val="Calibri Light"/>
      <family val="1"/>
      <scheme val="major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u/>
      <sz val="10.5"/>
      <name val="Calibri Light"/>
      <family val="2"/>
      <scheme val="major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sz val="10"/>
      <name val="Calibri"/>
      <family val="2"/>
      <scheme val="minor"/>
    </font>
    <font>
      <sz val="10.5"/>
      <color rgb="FFFF0000"/>
      <name val="Calibri"/>
      <family val="2"/>
      <scheme val="minor"/>
    </font>
    <font>
      <sz val="10.5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43" fontId="0" fillId="0" borderId="0" xfId="2" applyFont="1"/>
    <xf numFmtId="0" fontId="5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172" fontId="10" fillId="0" borderId="0" xfId="2" applyNumberFormat="1" applyFont="1" applyFill="1" applyBorder="1" applyAlignment="1" applyProtection="1">
      <protection hidden="1"/>
    </xf>
    <xf numFmtId="171" fontId="10" fillId="0" borderId="0" xfId="0" applyNumberFormat="1" applyFont="1" applyProtection="1">
      <protection hidden="1"/>
    </xf>
    <xf numFmtId="172" fontId="10" fillId="0" borderId="0" xfId="0" applyNumberFormat="1" applyFont="1" applyAlignment="1" applyProtection="1">
      <alignment horizontal="right"/>
      <protection hidden="1"/>
    </xf>
    <xf numFmtId="172" fontId="10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5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2" fillId="7" borderId="0" xfId="0" applyFont="1" applyFill="1" applyAlignment="1" applyProtection="1">
      <alignment horizontal="right"/>
      <protection hidden="1"/>
    </xf>
    <xf numFmtId="171" fontId="12" fillId="7" borderId="0" xfId="0" applyNumberFormat="1" applyFont="1" applyFill="1" applyProtection="1">
      <protection hidden="1"/>
    </xf>
    <xf numFmtId="168" fontId="9" fillId="7" borderId="10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 wrapText="1"/>
      <protection hidden="1"/>
    </xf>
    <xf numFmtId="10" fontId="13" fillId="0" borderId="0" xfId="0" applyNumberFormat="1" applyFont="1"/>
    <xf numFmtId="170" fontId="13" fillId="0" borderId="0" xfId="0" applyNumberFormat="1" applyFont="1"/>
    <xf numFmtId="43" fontId="13" fillId="0" borderId="0" xfId="2" applyFont="1" applyFill="1" applyBorder="1" applyAlignment="1" applyProtection="1"/>
    <xf numFmtId="1" fontId="13" fillId="0" borderId="0" xfId="0" applyNumberFormat="1" applyFont="1"/>
    <xf numFmtId="10" fontId="13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0" fontId="20" fillId="0" borderId="1" xfId="0" applyFont="1" applyBorder="1"/>
    <xf numFmtId="0" fontId="21" fillId="0" borderId="1" xfId="0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43" fontId="23" fillId="0" borderId="1" xfId="2" applyFont="1" applyFill="1" applyBorder="1" applyAlignment="1" applyProtection="1">
      <alignment horizontal="center" vertical="center"/>
      <protection hidden="1"/>
    </xf>
    <xf numFmtId="0" fontId="22" fillId="3" borderId="1" xfId="0" applyFont="1" applyFill="1" applyBorder="1"/>
    <xf numFmtId="43" fontId="24" fillId="3" borderId="1" xfId="2" applyFont="1" applyFill="1" applyBorder="1" applyAlignment="1" applyProtection="1">
      <alignment horizontal="center" vertical="center"/>
      <protection hidden="1"/>
    </xf>
    <xf numFmtId="43" fontId="22" fillId="0" borderId="1" xfId="2" applyFont="1" applyFill="1" applyBorder="1" applyAlignment="1" applyProtection="1">
      <alignment vertical="center"/>
      <protection locked="0"/>
    </xf>
    <xf numFmtId="9" fontId="25" fillId="0" borderId="6" xfId="3" applyFont="1" applyFill="1" applyBorder="1" applyAlignment="1" applyProtection="1">
      <alignment vertical="center"/>
      <protection locked="0"/>
    </xf>
    <xf numFmtId="9" fontId="22" fillId="0" borderId="6" xfId="3" applyFont="1" applyFill="1" applyBorder="1" applyAlignment="1" applyProtection="1">
      <alignment vertical="center"/>
    </xf>
    <xf numFmtId="1" fontId="25" fillId="0" borderId="6" xfId="2" applyNumberFormat="1" applyFont="1" applyFill="1" applyBorder="1" applyAlignment="1" applyProtection="1">
      <alignment vertical="center"/>
      <protection locked="0"/>
    </xf>
    <xf numFmtId="43" fontId="25" fillId="0" borderId="6" xfId="2" applyFont="1" applyFill="1" applyBorder="1" applyAlignment="1" applyProtection="1">
      <alignment vertical="center"/>
      <protection locked="0"/>
    </xf>
    <xf numFmtId="10" fontId="22" fillId="0" borderId="6" xfId="3" applyNumberFormat="1" applyFont="1" applyFill="1" applyBorder="1" applyAlignment="1" applyProtection="1">
      <alignment vertical="center"/>
    </xf>
    <xf numFmtId="0" fontId="25" fillId="0" borderId="7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2" fillId="0" borderId="6" xfId="0" applyFont="1" applyBorder="1" applyAlignment="1">
      <alignment vertical="center" wrapText="1"/>
    </xf>
    <xf numFmtId="0" fontId="25" fillId="0" borderId="1" xfId="0" applyFont="1" applyBorder="1" applyAlignment="1" applyProtection="1">
      <alignment vertical="center"/>
      <protection locked="0"/>
    </xf>
    <xf numFmtId="0" fontId="22" fillId="0" borderId="8" xfId="0" applyFont="1" applyBorder="1" applyAlignment="1">
      <alignment vertical="center" wrapText="1"/>
    </xf>
    <xf numFmtId="10" fontId="22" fillId="0" borderId="1" xfId="0" applyNumberFormat="1" applyFont="1" applyBorder="1" applyAlignment="1">
      <alignment vertical="center"/>
    </xf>
    <xf numFmtId="10" fontId="22" fillId="0" borderId="6" xfId="0" applyNumberFormat="1" applyFont="1" applyBorder="1" applyAlignment="1">
      <alignment vertical="center"/>
    </xf>
    <xf numFmtId="10" fontId="25" fillId="0" borderId="7" xfId="3" applyNumberFormat="1" applyFont="1" applyFill="1" applyBorder="1" applyAlignment="1" applyProtection="1">
      <alignment vertical="center"/>
      <protection locked="0"/>
    </xf>
    <xf numFmtId="10" fontId="22" fillId="0" borderId="8" xfId="3" applyNumberFormat="1" applyFont="1" applyFill="1" applyBorder="1" applyAlignment="1" applyProtection="1">
      <alignment horizontal="right" vertical="center"/>
    </xf>
    <xf numFmtId="43" fontId="25" fillId="0" borderId="9" xfId="2" applyFont="1" applyFill="1" applyBorder="1" applyAlignment="1" applyProtection="1">
      <alignment horizontal="right" vertical="center"/>
      <protection locked="0"/>
    </xf>
    <xf numFmtId="0" fontId="22" fillId="3" borderId="1" xfId="0" applyFont="1" applyFill="1" applyBorder="1" applyAlignment="1" applyProtection="1">
      <alignment horizontal="left" vertical="center"/>
      <protection hidden="1"/>
    </xf>
    <xf numFmtId="43" fontId="22" fillId="3" borderId="1" xfId="2" applyFont="1" applyFill="1" applyBorder="1" applyAlignment="1" applyProtection="1">
      <alignment vertical="center"/>
    </xf>
    <xf numFmtId="3" fontId="22" fillId="3" borderId="1" xfId="0" applyNumberFormat="1" applyFont="1" applyFill="1" applyBorder="1" applyAlignment="1" applyProtection="1">
      <alignment horizontal="left" vertical="center"/>
      <protection hidden="1"/>
    </xf>
    <xf numFmtId="43" fontId="22" fillId="3" borderId="1" xfId="2" applyFont="1" applyFill="1" applyBorder="1" applyAlignment="1" applyProtection="1">
      <alignment horizontal="right" vertical="center"/>
    </xf>
    <xf numFmtId="3" fontId="20" fillId="4" borderId="9" xfId="0" applyNumberFormat="1" applyFont="1" applyFill="1" applyBorder="1" applyAlignment="1" applyProtection="1">
      <alignment horizontal="left" vertical="center"/>
      <protection hidden="1"/>
    </xf>
    <xf numFmtId="43" fontId="20" fillId="4" borderId="9" xfId="2" applyFont="1" applyFill="1" applyBorder="1" applyAlignment="1" applyProtection="1">
      <alignment horizontal="right" vertical="center"/>
    </xf>
    <xf numFmtId="3" fontId="22" fillId="0" borderId="7" xfId="0" applyNumberFormat="1" applyFont="1" applyBorder="1" applyAlignment="1" applyProtection="1">
      <alignment horizontal="left" vertical="center"/>
      <protection hidden="1"/>
    </xf>
    <xf numFmtId="10" fontId="25" fillId="0" borderId="7" xfId="3" applyNumberFormat="1" applyFont="1" applyFill="1" applyBorder="1" applyAlignment="1" applyProtection="1">
      <alignment horizontal="right" vertical="center"/>
      <protection locked="0"/>
    </xf>
    <xf numFmtId="3" fontId="20" fillId="5" borderId="8" xfId="0" applyNumberFormat="1" applyFont="1" applyFill="1" applyBorder="1" applyAlignment="1" applyProtection="1">
      <alignment horizontal="left" vertical="center"/>
      <protection hidden="1"/>
    </xf>
    <xf numFmtId="43" fontId="20" fillId="5" borderId="8" xfId="2" applyFont="1" applyFill="1" applyBorder="1" applyAlignment="1" applyProtection="1">
      <alignment horizontal="right" vertical="center"/>
    </xf>
    <xf numFmtId="3" fontId="20" fillId="6" borderId="5" xfId="0" applyNumberFormat="1" applyFont="1" applyFill="1" applyBorder="1" applyAlignment="1" applyProtection="1">
      <alignment horizontal="left" vertical="center"/>
      <protection hidden="1"/>
    </xf>
    <xf numFmtId="43" fontId="20" fillId="6" borderId="5" xfId="2" applyFont="1" applyFill="1" applyBorder="1" applyAlignment="1" applyProtection="1">
      <alignment horizontal="right" vertical="center"/>
    </xf>
    <xf numFmtId="0" fontId="22" fillId="0" borderId="5" xfId="0" applyFont="1" applyBorder="1"/>
    <xf numFmtId="0" fontId="22" fillId="0" borderId="8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58483</xdr:rowOff>
    </xdr:from>
    <xdr:to>
      <xdr:col>0</xdr:col>
      <xdr:colOff>1313217</xdr:colOff>
      <xdr:row>47</xdr:row>
      <xdr:rowOff>21796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9565"/>
          <a:ext cx="1313217" cy="652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782581</xdr:colOff>
      <xdr:row>6</xdr:row>
      <xdr:rowOff>59429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0113"/>
        <a:stretch/>
      </xdr:blipFill>
      <xdr:spPr bwMode="auto">
        <a:xfrm>
          <a:off x="0" y="0"/>
          <a:ext cx="7545555" cy="10679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8:L43"/>
  <sheetViews>
    <sheetView tabSelected="1" topLeftCell="A4" zoomScale="85" zoomScaleNormal="85" workbookViewId="0">
      <selection activeCell="G17" sqref="G17"/>
    </sheetView>
  </sheetViews>
  <sheetFormatPr defaultRowHeight="13.2" x14ac:dyDescent="0.25"/>
  <cols>
    <col min="1" max="1" width="58.88671875" bestFit="1" customWidth="1"/>
    <col min="2" max="2" width="13.44140625" bestFit="1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2.5546875" customWidth="1"/>
    <col min="8" max="8" width="2.109375" customWidth="1"/>
    <col min="9" max="9" width="8.88671875" hidden="1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4" customWidth="1"/>
    <col min="15" max="15" width="13.6640625" customWidth="1"/>
    <col min="16" max="16" width="42.5546875" bestFit="1" customWidth="1"/>
    <col min="17" max="17" width="2.109375" bestFit="1" customWidth="1"/>
  </cols>
  <sheetData>
    <row r="8" spans="1:11" ht="14.4" x14ac:dyDescent="0.25">
      <c r="A8" s="35" t="s">
        <v>47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4.4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4.4" x14ac:dyDescent="0.3">
      <c r="A10" s="48" t="s">
        <v>57</v>
      </c>
      <c r="B10" s="49" t="s">
        <v>58</v>
      </c>
      <c r="C10" s="1"/>
      <c r="E10" s="1"/>
      <c r="F10" s="1"/>
      <c r="G10" s="1"/>
      <c r="H10" s="1"/>
      <c r="I10" s="1"/>
      <c r="J10" s="1"/>
      <c r="K10" s="1"/>
    </row>
    <row r="11" spans="1:11" ht="14.4" x14ac:dyDescent="0.3">
      <c r="A11" s="50" t="s">
        <v>56</v>
      </c>
      <c r="B11" s="51">
        <v>500000</v>
      </c>
      <c r="E11" s="1"/>
      <c r="F11" s="1"/>
      <c r="G11" s="1"/>
      <c r="H11" s="1"/>
      <c r="I11" s="1"/>
      <c r="J11" s="1"/>
      <c r="K11" s="1"/>
    </row>
    <row r="12" spans="1:11" ht="14.4" x14ac:dyDescent="0.3">
      <c r="A12" s="52" t="s">
        <v>60</v>
      </c>
      <c r="B12" s="53">
        <f>IF(B10="Linea A",
MIN(25000,B11*30%),
MIN(30000,B11*20%))</f>
        <v>30000</v>
      </c>
      <c r="C12" s="1"/>
      <c r="E12" s="1"/>
      <c r="F12" s="1"/>
      <c r="G12" s="1"/>
      <c r="H12" s="1"/>
      <c r="I12" s="1" t="s">
        <v>59</v>
      </c>
      <c r="K12" s="1"/>
    </row>
    <row r="13" spans="1:11" ht="14.4" x14ac:dyDescent="0.3">
      <c r="A13" s="50" t="s">
        <v>17</v>
      </c>
      <c r="B13" s="54">
        <f>IF(B10="Linea A",(B11-B12)*75%,(B11-B12)*50%)</f>
        <v>235000</v>
      </c>
      <c r="C13" s="2"/>
      <c r="D13" s="2"/>
      <c r="E13" s="4"/>
      <c r="I13" s="1" t="s">
        <v>58</v>
      </c>
    </row>
    <row r="14" spans="1:11" ht="14.4" x14ac:dyDescent="0.3">
      <c r="A14" s="50" t="s">
        <v>51</v>
      </c>
      <c r="B14" s="55">
        <v>0.6</v>
      </c>
      <c r="C14" s="2"/>
      <c r="D14" s="2"/>
      <c r="E14" s="4"/>
      <c r="I14" s="1"/>
    </row>
    <row r="15" spans="1:11" ht="13.8" x14ac:dyDescent="0.3">
      <c r="A15" s="50" t="s">
        <v>53</v>
      </c>
      <c r="B15" s="55">
        <v>0</v>
      </c>
      <c r="C15" s="2"/>
      <c r="D15" s="2"/>
      <c r="E15" s="4"/>
    </row>
    <row r="16" spans="1:11" ht="13.8" x14ac:dyDescent="0.3">
      <c r="A16" s="50" t="s">
        <v>52</v>
      </c>
      <c r="B16" s="56">
        <f>+B14+B15</f>
        <v>0.6</v>
      </c>
      <c r="C16" s="2"/>
      <c r="D16" s="2"/>
      <c r="E16" s="4"/>
    </row>
    <row r="17" spans="1:12" ht="13.8" x14ac:dyDescent="0.3">
      <c r="A17" s="50" t="s">
        <v>19</v>
      </c>
      <c r="B17" s="55">
        <v>0.08</v>
      </c>
      <c r="C17" s="2"/>
      <c r="D17" s="2"/>
      <c r="E17" s="4"/>
    </row>
    <row r="18" spans="1:12" ht="13.8" x14ac:dyDescent="0.3">
      <c r="A18" s="50" t="s">
        <v>22</v>
      </c>
      <c r="B18" s="57">
        <v>96</v>
      </c>
      <c r="C18" s="2"/>
      <c r="D18" s="2"/>
      <c r="E18" s="4"/>
    </row>
    <row r="19" spans="1:12" ht="13.8" x14ac:dyDescent="0.3">
      <c r="A19" s="50" t="s">
        <v>50</v>
      </c>
      <c r="B19" s="58" t="s">
        <v>61</v>
      </c>
      <c r="C19" s="2"/>
      <c r="D19" s="2"/>
      <c r="E19" s="4"/>
    </row>
    <row r="20" spans="1:12" ht="13.8" x14ac:dyDescent="0.3">
      <c r="A20" s="50" t="s">
        <v>54</v>
      </c>
      <c r="B20" s="59">
        <f>MIN(2.5%,B17)</f>
        <v>2.5000000000000001E-2</v>
      </c>
      <c r="C20" s="2"/>
      <c r="D20" s="2"/>
      <c r="E20" s="4"/>
    </row>
    <row r="21" spans="1:12" ht="14.4" thickBot="1" x14ac:dyDescent="0.35">
      <c r="A21" s="83" t="s">
        <v>55</v>
      </c>
      <c r="B21" s="59">
        <f>MIN(2.5%,B17)</f>
        <v>2.5000000000000001E-2</v>
      </c>
      <c r="C21" s="2"/>
      <c r="D21" s="2"/>
    </row>
    <row r="22" spans="1:12" ht="15" customHeight="1" x14ac:dyDescent="0.3">
      <c r="A22" s="82" t="s">
        <v>9</v>
      </c>
      <c r="B22" s="60">
        <v>12</v>
      </c>
      <c r="C22" s="2"/>
      <c r="D22" s="2"/>
    </row>
    <row r="23" spans="1:12" ht="13.8" x14ac:dyDescent="0.3">
      <c r="A23" s="50" t="s">
        <v>20</v>
      </c>
      <c r="B23" s="61">
        <v>0</v>
      </c>
      <c r="C23" s="2"/>
      <c r="D23" s="2"/>
    </row>
    <row r="24" spans="1:12" ht="14.4" thickBot="1" x14ac:dyDescent="0.35">
      <c r="A24" s="83" t="s">
        <v>11</v>
      </c>
      <c r="B24" s="62">
        <f>B22*B23/12</f>
        <v>0</v>
      </c>
      <c r="C24" s="2"/>
      <c r="D24" s="2"/>
    </row>
    <row r="25" spans="1:12" ht="13.8" x14ac:dyDescent="0.3">
      <c r="A25" s="82" t="s">
        <v>10</v>
      </c>
      <c r="B25" s="60">
        <v>12</v>
      </c>
      <c r="C25" s="2"/>
      <c r="D25" s="2"/>
    </row>
    <row r="26" spans="1:12" ht="13.8" x14ac:dyDescent="0.3">
      <c r="A26" s="50" t="s">
        <v>21</v>
      </c>
      <c r="B26" s="63">
        <v>96</v>
      </c>
      <c r="C26" s="2"/>
      <c r="D26" s="2"/>
    </row>
    <row r="27" spans="1:12" ht="14.4" thickBot="1" x14ac:dyDescent="0.35">
      <c r="A27" s="83" t="s">
        <v>12</v>
      </c>
      <c r="B27" s="64">
        <f>B25*B26/12</f>
        <v>96</v>
      </c>
      <c r="C27" s="2"/>
      <c r="D27" s="2"/>
      <c r="F27" s="5"/>
      <c r="L27" s="3"/>
    </row>
    <row r="28" spans="1:12" ht="13.8" x14ac:dyDescent="0.3">
      <c r="A28" s="82" t="s">
        <v>15</v>
      </c>
      <c r="B28" s="65">
        <f>IFERROR(B20/B22,0)</f>
        <v>2.0833333333333333E-3</v>
      </c>
    </row>
    <row r="29" spans="1:12" ht="14.4" thickBot="1" x14ac:dyDescent="0.35">
      <c r="A29" s="83" t="s">
        <v>14</v>
      </c>
      <c r="B29" s="66">
        <f>B21/B25</f>
        <v>2.0833333333333333E-3</v>
      </c>
    </row>
    <row r="30" spans="1:12" ht="13.8" x14ac:dyDescent="0.3">
      <c r="A30" s="82" t="s">
        <v>18</v>
      </c>
      <c r="B30" s="67">
        <v>2.7099999999999999E-2</v>
      </c>
    </row>
    <row r="31" spans="1:12" ht="14.4" thickBot="1" x14ac:dyDescent="0.35">
      <c r="A31" s="83" t="s">
        <v>23</v>
      </c>
      <c r="B31" s="68">
        <v>0.01</v>
      </c>
    </row>
    <row r="32" spans="1:12" ht="13.8" x14ac:dyDescent="0.3">
      <c r="A32" s="82" t="s">
        <v>49</v>
      </c>
      <c r="B32" s="69">
        <v>100</v>
      </c>
    </row>
    <row r="33" spans="1:2" ht="13.8" x14ac:dyDescent="0.25">
      <c r="A33" s="70" t="s">
        <v>48</v>
      </c>
      <c r="B33" s="71">
        <f>MIN(5000,B32+B13*B16*B18/12*0.6%)</f>
        <v>5000</v>
      </c>
    </row>
    <row r="34" spans="1:2" ht="13.8" x14ac:dyDescent="0.25">
      <c r="A34" s="72" t="s">
        <v>16</v>
      </c>
      <c r="B34" s="73">
        <f>MIN(6000,SUM('FNC-ORD_contributo interessi'!G3:G26,'FNC-ORD_contributo interessi'!P3:P98))</f>
        <v>6000</v>
      </c>
    </row>
    <row r="35" spans="1:2" ht="14.4" thickBot="1" x14ac:dyDescent="0.3">
      <c r="A35" s="74" t="s">
        <v>25</v>
      </c>
      <c r="B35" s="75">
        <f>B34+B33+B12</f>
        <v>41000</v>
      </c>
    </row>
    <row r="36" spans="1:2" ht="13.8" x14ac:dyDescent="0.25">
      <c r="A36" s="76" t="s">
        <v>46</v>
      </c>
      <c r="B36" s="77">
        <v>1.2699999999999999E-2</v>
      </c>
    </row>
    <row r="37" spans="1:2" ht="14.4" thickBot="1" x14ac:dyDescent="0.3">
      <c r="A37" s="78" t="s">
        <v>62</v>
      </c>
      <c r="B37" s="79">
        <f>'FNC-ORD_ESL riassicurazione'!D1</f>
        <v>9314.0879198391922</v>
      </c>
    </row>
    <row r="38" spans="1:2" ht="13.8" x14ac:dyDescent="0.25">
      <c r="A38" s="80" t="s">
        <v>24</v>
      </c>
      <c r="B38" s="81">
        <f>+B35+B37</f>
        <v>50314.087919839192</v>
      </c>
    </row>
    <row r="41" spans="1:2" ht="14.4" x14ac:dyDescent="0.25">
      <c r="A41" s="6" t="str">
        <f>IF(AND(B19="NO",B15&gt;0%),"ATTENZIONE - E' STATO VALORIZZATO IL CAMPO Percentuale garanzia I grado con FCG (se presente) MA NON E' STATO VALORIZZATO CON SI IL CAMPO Presenza FCG",
IF(AND(B19="SI'",B15=0%),"ATTENZIONE - NON E' STATO VALORIZZATO IL CAMPO Percentuale garanzia I grado con FCG (se presente) MA E' STATO VALORIZZATO CON SI IL CAMPO Presenza FCG",
" "))</f>
        <v xml:space="preserve"> </v>
      </c>
    </row>
    <row r="42" spans="1:2" ht="14.4" x14ac:dyDescent="0.25">
      <c r="A42" s="6" t="str">
        <f>IF(B18=B23+B26," ","ATTENZIONE - E' STATA RIPORTATA UNA DURATA DEL FINANZIAMENTO NON COERENTE CON QUELLA DEL PREAMMORTAMENTO E DELL'AMMORTAMENTO")</f>
        <v xml:space="preserve"> </v>
      </c>
    </row>
    <row r="43" spans="1:2" ht="14.4" x14ac:dyDescent="0.25">
      <c r="A43" s="6" t="str">
        <f>IF(AND(B19="SI'",B16&gt;70%),"ATTENZIONE - LA PERCENTUALE DI GARANZIA DI I GRADO NON PUO' RISULTARE SUPERIORE AL 70% IN CASO DI COGARANZIA FCG"," ")</f>
        <v xml:space="preserve"> </v>
      </c>
    </row>
  </sheetData>
  <dataValidations count="11">
    <dataValidation type="decimal" allowBlank="1" showInputMessage="1" showErrorMessage="1" sqref="B13" xr:uid="{847BB09A-D7A7-4F3F-A5B3-D8FFC1AC0442}">
      <formula1>15000</formula1>
      <formula2>200000</formula2>
    </dataValidation>
    <dataValidation type="whole" operator="lessThanOrEqual" allowBlank="1" showInputMessage="1" showErrorMessage="1" sqref="B26 B18" xr:uid="{BDFD8104-B32A-496A-A62B-9AC0E93EE3E3}">
      <formula1>96</formula1>
    </dataValidation>
    <dataValidation operator="lessThanOrEqual" allowBlank="1" showInputMessage="1" showErrorMessage="1" sqref="B23" xr:uid="{E293D140-E769-4A2D-BAFD-5334441CBA0B}"/>
    <dataValidation type="decimal" operator="lessThanOrEqual" allowBlank="1" showInputMessage="1" showErrorMessage="1" sqref="B21" xr:uid="{EA2CC33E-A74D-48D9-AFD9-71C3F902A7A0}">
      <formula1>0.05</formula1>
    </dataValidation>
    <dataValidation type="decimal" operator="lessThanOrEqual" allowBlank="1" showInputMessage="1" showErrorMessage="1" sqref="B32:B33" xr:uid="{AE4603B0-1958-416E-A7CB-A1342B2094A9}">
      <formula1>5000</formula1>
    </dataValidation>
    <dataValidation type="decimal" operator="lessThanOrEqual" allowBlank="1" showInputMessage="1" showErrorMessage="1" sqref="B20" xr:uid="{E74F8D87-E86D-43B2-8405-69B7BF3AEB7C}">
      <formula1>0.0475</formula1>
    </dataValidation>
    <dataValidation type="decimal" operator="lessThanOrEqual" allowBlank="1" showInputMessage="1" showErrorMessage="1" sqref="B14:B16" xr:uid="{3996F018-B97D-484B-BF9F-0296A560B9AB}">
      <formula1>0.8</formula1>
    </dataValidation>
    <dataValidation type="decimal" operator="greaterThan" allowBlank="1" showInputMessage="1" showErrorMessage="1" sqref="B17" xr:uid="{2003503F-71EC-43D0-AB61-0DD0F656F4D3}">
      <formula1>0</formula1>
    </dataValidation>
    <dataValidation type="list" allowBlank="1" showInputMessage="1" showErrorMessage="1" sqref="B19" xr:uid="{A9F12257-86F9-43BD-98C0-01894ECF2764}">
      <formula1>"SI',NO"</formula1>
    </dataValidation>
    <dataValidation type="list" allowBlank="1" showInputMessage="1" showErrorMessage="1" sqref="K4 B10" xr:uid="{A4A403CA-9FE2-4789-8C9B-301C33BC9757}">
      <formula1>$I$12:$I$13</formula1>
    </dataValidation>
    <dataValidation operator="greaterThan" allowBlank="1" showInputMessage="1" showErrorMessage="1" sqref="B11" xr:uid="{4CB110EA-98EE-4188-94C7-95276EFC0289}"/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B22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F30" sqref="F30"/>
    </sheetView>
  </sheetViews>
  <sheetFormatPr defaultRowHeight="13.2" x14ac:dyDescent="0.25"/>
  <cols>
    <col min="1" max="1" width="10.6640625" bestFit="1" customWidth="1"/>
    <col min="2" max="2" width="12.6640625" bestFit="1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0.5546875" customWidth="1"/>
    <col min="8" max="8" width="2" bestFit="1" customWidth="1"/>
    <col min="9" max="9" width="5.33203125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2" bestFit="1" customWidth="1"/>
    <col min="15" max="15" width="12.6640625" bestFit="1" customWidth="1"/>
    <col min="16" max="16" width="39.6640625" customWidth="1"/>
    <col min="17" max="17" width="2" bestFit="1" customWidth="1"/>
  </cols>
  <sheetData>
    <row r="1" spans="1:17" ht="13.8" x14ac:dyDescent="0.25">
      <c r="A1" s="84" t="s">
        <v>0</v>
      </c>
      <c r="B1" s="85"/>
      <c r="C1" s="85"/>
      <c r="D1" s="85"/>
      <c r="E1" s="85"/>
      <c r="F1" s="85"/>
      <c r="G1" s="86"/>
      <c r="J1" s="84" t="s">
        <v>8</v>
      </c>
      <c r="K1" s="85"/>
      <c r="L1" s="85"/>
      <c r="M1" s="85"/>
      <c r="N1" s="85"/>
      <c r="O1" s="85"/>
      <c r="P1" s="86"/>
    </row>
    <row r="2" spans="1:17" ht="13.8" x14ac:dyDescent="0.25">
      <c r="A2" s="43" t="s">
        <v>2</v>
      </c>
      <c r="B2" s="43" t="s">
        <v>3</v>
      </c>
      <c r="C2" s="43" t="s">
        <v>4</v>
      </c>
      <c r="D2" s="43" t="s">
        <v>5</v>
      </c>
      <c r="E2" s="43" t="s">
        <v>6</v>
      </c>
      <c r="F2" s="43" t="s">
        <v>7</v>
      </c>
      <c r="G2" s="44" t="s">
        <v>1</v>
      </c>
      <c r="J2" s="43" t="s">
        <v>2</v>
      </c>
      <c r="K2" s="43" t="s">
        <v>3</v>
      </c>
      <c r="L2" s="43" t="s">
        <v>4</v>
      </c>
      <c r="M2" s="43" t="s">
        <v>5</v>
      </c>
      <c r="N2" s="43" t="s">
        <v>6</v>
      </c>
      <c r="O2" s="43" t="s">
        <v>7</v>
      </c>
      <c r="P2" s="44" t="s">
        <v>1</v>
      </c>
    </row>
    <row r="3" spans="1:17" x14ac:dyDescent="0.25">
      <c r="A3" s="45">
        <f>IF('FNC-ORD_prospetto riassuntivo'!B24=0,0,1)</f>
        <v>0</v>
      </c>
      <c r="B3" s="46">
        <f>'FNC-ORD_prospetto riassuntivo'!$B$13*'FNC-ORD_prospetto riassuntivo'!$B$28*H3</f>
        <v>0</v>
      </c>
      <c r="C3" s="46">
        <v>0</v>
      </c>
      <c r="D3" s="46">
        <f t="shared" ref="D3:D26" si="0">B3</f>
        <v>0</v>
      </c>
      <c r="E3" s="46">
        <v>0</v>
      </c>
      <c r="F3" s="46">
        <f>'FNC-ORD_prospetto riassuntivo'!$B$13</f>
        <v>235000</v>
      </c>
      <c r="G3" s="46">
        <f>B3/((1+IFERROR(SUM('FNC-ORD_prospetto riassuntivo'!$B$30,'FNC-ORD_prospetto riassuntivo'!$B$31)/'FNC-ORD_prospetto riassuntivo'!$B$22,0))^A3)</f>
        <v>0</v>
      </c>
      <c r="H3">
        <f>IF(A3=0,0,IF(OR(A3&lt;'FNC-ORD_prospetto riassuntivo'!$B$24,A3='FNC-ORD_prospetto riassuntivo'!$B$24),1,0))</f>
        <v>0</v>
      </c>
      <c r="J3" s="45">
        <f>MAX(A3:A38)+1</f>
        <v>1</v>
      </c>
      <c r="K3" s="46">
        <f>'FNC-ORD_prospetto riassuntivo'!$B$13*'FNC-ORD_prospetto riassuntivo'!$B$29*Q3</f>
        <v>489.58333333333331</v>
      </c>
      <c r="L3" s="46">
        <f t="shared" ref="L3:L34" si="1">M3-K3</f>
        <v>2213.8198453194223</v>
      </c>
      <c r="M3" s="46">
        <f>-PMT('FNC-ORD_prospetto riassuntivo'!B29,'FNC-ORD_prospetto riassuntivo'!B27,'FNC-ORD_prospetto riassuntivo'!B13,,0)</f>
        <v>2703.4031786527557</v>
      </c>
      <c r="N3" s="46">
        <f>(L3)*Q3</f>
        <v>2213.8198453194223</v>
      </c>
      <c r="O3" s="46">
        <f>('FNC-ORD_prospetto riassuntivo'!$B$13-N3)*Q3</f>
        <v>232786.18015468057</v>
      </c>
      <c r="P3" s="46">
        <f>K3/(1+SUM('FNC-ORD_prospetto riassuntivo'!$B$30:$B$31)/'FNC-ORD_prospetto riassuntivo'!$B$25)^J3</f>
        <v>488.07437007252571</v>
      </c>
      <c r="Q3">
        <f>IF(J3=0,0,IF(OR(J3&lt;'FNC-ORD_prospetto riassuntivo'!$B$24+'FNC-ORD_prospetto riassuntivo'!$B$27,J3='FNC-ORD_prospetto riassuntivo'!$B$24+'FNC-ORD_prospetto riassuntivo'!$B$27),1,0))</f>
        <v>1</v>
      </c>
    </row>
    <row r="4" spans="1:17" x14ac:dyDescent="0.25">
      <c r="A4" s="45">
        <f>IF(A3=0,0,IF('FNC-ORD_prospetto riassuntivo'!$B$24&gt;A3,A3+1,0))</f>
        <v>0</v>
      </c>
      <c r="B4" s="46">
        <f>'FNC-ORD_prospetto riassuntivo'!$B$13*'FNC-ORD_prospetto riassuntivo'!$B$28*H4</f>
        <v>0</v>
      </c>
      <c r="C4" s="46">
        <v>0</v>
      </c>
      <c r="D4" s="46">
        <f t="shared" si="0"/>
        <v>0</v>
      </c>
      <c r="E4" s="46">
        <v>0</v>
      </c>
      <c r="F4" s="46">
        <f>'FNC-ORD_prospetto riassuntivo'!$B$13</f>
        <v>235000</v>
      </c>
      <c r="G4" s="46">
        <f>B4/((1+IFERROR(SUM('FNC-ORD_prospetto riassuntivo'!$B$30,'FNC-ORD_prospetto riassuntivo'!$B$31)/'FNC-ORD_prospetto riassuntivo'!$B$22,0))^A4)</f>
        <v>0</v>
      </c>
      <c r="H4">
        <f>IF(A4=0,0,IF(OR(A4&lt;'FNC-ORD_prospetto riassuntivo'!$B$24,A4='FNC-ORD_prospetto riassuntivo'!$B$24),1,0))</f>
        <v>0</v>
      </c>
      <c r="J4" s="45">
        <f>IF(J3=0,0,IF('FNC-ORD_prospetto riassuntivo'!$B$24+'FNC-ORD_prospetto riassuntivo'!$B$27&gt;J3,J3+1,0))</f>
        <v>2</v>
      </c>
      <c r="K4" s="46">
        <f>O3*'FNC-ORD_prospetto riassuntivo'!$B$29*Q4</f>
        <v>484.97120865558452</v>
      </c>
      <c r="L4" s="46">
        <f t="shared" si="1"/>
        <v>2218.4319699971711</v>
      </c>
      <c r="M4" s="46">
        <f t="shared" ref="M4:M35" si="2">$M$3*Q4</f>
        <v>2703.4031786527557</v>
      </c>
      <c r="N4" s="47">
        <f t="shared" ref="N4:N35" si="3">(L4+N3)*Q4</f>
        <v>4432.2518153165929</v>
      </c>
      <c r="O4" s="46">
        <f>('FNC-ORD_prospetto riassuntivo'!$B$13-N4)*Q4</f>
        <v>230567.74818468341</v>
      </c>
      <c r="P4" s="46">
        <f>K4/(1+SUM('FNC-ORD_prospetto riassuntivo'!$B$30:$B$31)/'FNC-ORD_prospetto riassuntivo'!$B$25)^J4</f>
        <v>481.98631956026117</v>
      </c>
      <c r="Q4">
        <f>IF(J4=0,0,IF(OR(J4&lt;'FNC-ORD_prospetto riassuntivo'!$B$24+'FNC-ORD_prospetto riassuntivo'!$B$27,J4='FNC-ORD_prospetto riassuntivo'!$B$24+'FNC-ORD_prospetto riassuntivo'!$B$27),1,0))</f>
        <v>1</v>
      </c>
    </row>
    <row r="5" spans="1:17" x14ac:dyDescent="0.25">
      <c r="A5" s="45">
        <f>IF(A4=0,0,IF('FNC-ORD_prospetto riassuntivo'!$B$24&gt;A4,A4+1,0))</f>
        <v>0</v>
      </c>
      <c r="B5" s="46">
        <f>'FNC-ORD_prospetto riassuntivo'!$B$13*'FNC-ORD_prospetto riassuntivo'!$B$28*H5</f>
        <v>0</v>
      </c>
      <c r="C5" s="46">
        <v>0</v>
      </c>
      <c r="D5" s="46">
        <f t="shared" si="0"/>
        <v>0</v>
      </c>
      <c r="E5" s="46">
        <v>0</v>
      </c>
      <c r="F5" s="46">
        <f>'FNC-ORD_prospetto riassuntivo'!$B$13</f>
        <v>235000</v>
      </c>
      <c r="G5" s="46">
        <f>B5/((1+IFERROR(SUM('FNC-ORD_prospetto riassuntivo'!$B$30,'FNC-ORD_prospetto riassuntivo'!$B$31)/'FNC-ORD_prospetto riassuntivo'!$B$22,0))^A5)</f>
        <v>0</v>
      </c>
      <c r="H5">
        <f>IF(A5=0,0,IF(OR(A5&lt;'FNC-ORD_prospetto riassuntivo'!$B$24,A5='FNC-ORD_prospetto riassuntivo'!$B$24),1,0))</f>
        <v>0</v>
      </c>
      <c r="J5" s="45">
        <f>IF(J4=0,0,IF('FNC-ORD_prospetto riassuntivo'!$B$24+'FNC-ORD_prospetto riassuntivo'!$B$27&gt;J4,J4+1,0))</f>
        <v>3</v>
      </c>
      <c r="K5" s="46">
        <f>O4*'FNC-ORD_prospetto riassuntivo'!$B$29*Q5</f>
        <v>480.34947538475711</v>
      </c>
      <c r="L5" s="46">
        <f t="shared" si="1"/>
        <v>2223.0537032679986</v>
      </c>
      <c r="M5" s="46">
        <f t="shared" si="2"/>
        <v>2703.4031786527557</v>
      </c>
      <c r="N5" s="47">
        <f t="shared" si="3"/>
        <v>6655.3055185845915</v>
      </c>
      <c r="O5" s="46">
        <f>('FNC-ORD_prospetto riassuntivo'!$B$13-N5)*Q5</f>
        <v>228344.69448141541</v>
      </c>
      <c r="P5" s="46">
        <f>K5/(1+SUM('FNC-ORD_prospetto riassuntivo'!$B$30:$B$31)/'FNC-ORD_prospetto riassuntivo'!$B$25)^J5</f>
        <v>475.92164094860573</v>
      </c>
      <c r="Q5">
        <f>IF(J5=0,0,IF(OR(J5&lt;'FNC-ORD_prospetto riassuntivo'!$B$24+'FNC-ORD_prospetto riassuntivo'!$B$27,J5='FNC-ORD_prospetto riassuntivo'!$B$24+'FNC-ORD_prospetto riassuntivo'!$B$27),1,0))</f>
        <v>1</v>
      </c>
    </row>
    <row r="6" spans="1:17" x14ac:dyDescent="0.25">
      <c r="A6" s="45">
        <f>IF(A5=0,0,IF('FNC-ORD_prospetto riassuntivo'!$B$24&gt;A5,A5+1,0))</f>
        <v>0</v>
      </c>
      <c r="B6" s="46">
        <f>'FNC-ORD_prospetto riassuntivo'!$B$13*'FNC-ORD_prospetto riassuntivo'!$B$28*H6</f>
        <v>0</v>
      </c>
      <c r="C6" s="46">
        <v>0</v>
      </c>
      <c r="D6" s="46">
        <f t="shared" si="0"/>
        <v>0</v>
      </c>
      <c r="E6" s="46">
        <v>0</v>
      </c>
      <c r="F6" s="46">
        <f>'FNC-ORD_prospetto riassuntivo'!$B$13</f>
        <v>235000</v>
      </c>
      <c r="G6" s="46">
        <f>B6/((1+IFERROR(SUM('FNC-ORD_prospetto riassuntivo'!$B$30,'FNC-ORD_prospetto riassuntivo'!$B$31)/'FNC-ORD_prospetto riassuntivo'!$B$22,0))^A6)</f>
        <v>0</v>
      </c>
      <c r="H6">
        <f>IF(A6=0,0,IF(OR(A6&lt;'FNC-ORD_prospetto riassuntivo'!$B$24,A6='FNC-ORD_prospetto riassuntivo'!$B$24),1,0))</f>
        <v>0</v>
      </c>
      <c r="J6" s="45">
        <f>IF(J5=0,0,IF('FNC-ORD_prospetto riassuntivo'!$B$24+'FNC-ORD_prospetto riassuntivo'!$B$27&gt;J5,J5+1,0))</f>
        <v>4</v>
      </c>
      <c r="K6" s="46">
        <f>O5*'FNC-ORD_prospetto riassuntivo'!$B$29*Q6</f>
        <v>475.71811350294877</v>
      </c>
      <c r="L6" s="46">
        <f t="shared" si="1"/>
        <v>2227.6850651498071</v>
      </c>
      <c r="M6" s="46">
        <f t="shared" si="2"/>
        <v>2703.4031786527557</v>
      </c>
      <c r="N6" s="47">
        <f t="shared" si="3"/>
        <v>8882.9905837343977</v>
      </c>
      <c r="O6" s="46">
        <f>('FNC-ORD_prospetto riassuntivo'!$B$13-N6)*Q6</f>
        <v>226117.00941626559</v>
      </c>
      <c r="P6" s="46">
        <f>K6/(1+SUM('FNC-ORD_prospetto riassuntivo'!$B$30:$B$31)/'FNC-ORD_prospetto riassuntivo'!$B$25)^J6</f>
        <v>469.88025757037479</v>
      </c>
      <c r="Q6">
        <f>IF(J6=0,0,IF(OR(J6&lt;'FNC-ORD_prospetto riassuntivo'!$B$24+'FNC-ORD_prospetto riassuntivo'!$B$27,J6='FNC-ORD_prospetto riassuntivo'!$B$24+'FNC-ORD_prospetto riassuntivo'!$B$27),1,0))</f>
        <v>1</v>
      </c>
    </row>
    <row r="7" spans="1:17" x14ac:dyDescent="0.25">
      <c r="A7" s="45">
        <f>IF(A6=0,0,IF('FNC-ORD_prospetto riassuntivo'!$B$24&gt;A6,A6+1,0))</f>
        <v>0</v>
      </c>
      <c r="B7" s="46">
        <f>'FNC-ORD_prospetto riassuntivo'!$B$13*'FNC-ORD_prospetto riassuntivo'!$B$28*H7</f>
        <v>0</v>
      </c>
      <c r="C7" s="46">
        <v>0</v>
      </c>
      <c r="D7" s="46">
        <f t="shared" si="0"/>
        <v>0</v>
      </c>
      <c r="E7" s="46">
        <v>0</v>
      </c>
      <c r="F7" s="46">
        <f>'FNC-ORD_prospetto riassuntivo'!$B$13</f>
        <v>235000</v>
      </c>
      <c r="G7" s="46">
        <f>B7/((1+IFERROR(SUM('FNC-ORD_prospetto riassuntivo'!$B$30,'FNC-ORD_prospetto riassuntivo'!$B$31)/'FNC-ORD_prospetto riassuntivo'!$B$22,0))^A7)</f>
        <v>0</v>
      </c>
      <c r="H7">
        <f>IF(A7=0,0,IF(OR(A7&lt;'FNC-ORD_prospetto riassuntivo'!$B$24,A7='FNC-ORD_prospetto riassuntivo'!$B$24),1,0))</f>
        <v>0</v>
      </c>
      <c r="J7" s="45">
        <f>IF(J6=0,0,IF('FNC-ORD_prospetto riassuntivo'!$B$24+'FNC-ORD_prospetto riassuntivo'!$B$27&gt;J6,J6+1,0))</f>
        <v>5</v>
      </c>
      <c r="K7" s="46">
        <f>O6*'FNC-ORD_prospetto riassuntivo'!$B$29*Q7</f>
        <v>471.0771029505533</v>
      </c>
      <c r="L7" s="46">
        <f t="shared" si="1"/>
        <v>2232.3260757022026</v>
      </c>
      <c r="M7" s="46">
        <f t="shared" si="2"/>
        <v>2703.4031786527557</v>
      </c>
      <c r="N7" s="47">
        <f t="shared" si="3"/>
        <v>11115.316659436601</v>
      </c>
      <c r="O7" s="46">
        <f>('FNC-ORD_prospetto riassuntivo'!$B$13-N7)*Q7</f>
        <v>223884.68334056341</v>
      </c>
      <c r="P7" s="46">
        <f>K7/(1+SUM('FNC-ORD_prospetto riassuntivo'!$B$30:$B$31)/'FNC-ORD_prospetto riassuntivo'!$B$25)^J7</f>
        <v>463.86209299933864</v>
      </c>
      <c r="Q7">
        <f>IF(J7=0,0,IF(OR(J7&lt;'FNC-ORD_prospetto riassuntivo'!$B$24+'FNC-ORD_prospetto riassuntivo'!$B$27,J7='FNC-ORD_prospetto riassuntivo'!$B$24+'FNC-ORD_prospetto riassuntivo'!$B$27),1,0))</f>
        <v>1</v>
      </c>
    </row>
    <row r="8" spans="1:17" x14ac:dyDescent="0.25">
      <c r="A8" s="45">
        <f>IF(A7=0,0,IF('FNC-ORD_prospetto riassuntivo'!$B$24&gt;A7,A7+1,0))</f>
        <v>0</v>
      </c>
      <c r="B8" s="46">
        <f>'FNC-ORD_prospetto riassuntivo'!$B$13*'FNC-ORD_prospetto riassuntivo'!$B$28*H8</f>
        <v>0</v>
      </c>
      <c r="C8" s="46">
        <v>0</v>
      </c>
      <c r="D8" s="46">
        <f t="shared" si="0"/>
        <v>0</v>
      </c>
      <c r="E8" s="46">
        <v>0</v>
      </c>
      <c r="F8" s="46">
        <f>'FNC-ORD_prospetto riassuntivo'!$B$13</f>
        <v>235000</v>
      </c>
      <c r="G8" s="46">
        <f>B8/((1+IFERROR(SUM('FNC-ORD_prospetto riassuntivo'!$B$30,'FNC-ORD_prospetto riassuntivo'!$B$31)/'FNC-ORD_prospetto riassuntivo'!$B$22,0))^A8)</f>
        <v>0</v>
      </c>
      <c r="H8">
        <f>IF(A8=0,0,IF(OR(A8&lt;'FNC-ORD_prospetto riassuntivo'!$B$24,A8='FNC-ORD_prospetto riassuntivo'!$B$24),1,0))</f>
        <v>0</v>
      </c>
      <c r="J8" s="45">
        <f>IF(J7=0,0,IF('FNC-ORD_prospetto riassuntivo'!$B$24+'FNC-ORD_prospetto riassuntivo'!$B$27&gt;J7,J7+1,0))</f>
        <v>6</v>
      </c>
      <c r="K8" s="46">
        <f>O7*'FNC-ORD_prospetto riassuntivo'!$B$29*Q8</f>
        <v>466.42642362617374</v>
      </c>
      <c r="L8" s="46">
        <f t="shared" si="1"/>
        <v>2236.9767550265819</v>
      </c>
      <c r="M8" s="46">
        <f t="shared" si="2"/>
        <v>2703.4031786527557</v>
      </c>
      <c r="N8" s="47">
        <f t="shared" si="3"/>
        <v>13352.293414463184</v>
      </c>
      <c r="O8" s="46">
        <f>('FNC-ORD_prospetto riassuntivo'!$B$13-N8)*Q8</f>
        <v>221647.70658553683</v>
      </c>
      <c r="P8" s="46">
        <f>K8/(1+SUM('FNC-ORD_prospetto riassuntivo'!$B$30:$B$31)/'FNC-ORD_prospetto riassuntivo'!$B$25)^J8</f>
        <v>457.86707104947516</v>
      </c>
      <c r="Q8">
        <f>IF(J8=0,0,IF(OR(J8&lt;'FNC-ORD_prospetto riassuntivo'!$B$24+'FNC-ORD_prospetto riassuntivo'!$B$27,J8='FNC-ORD_prospetto riassuntivo'!$B$24+'FNC-ORD_prospetto riassuntivo'!$B$27),1,0))</f>
        <v>1</v>
      </c>
    </row>
    <row r="9" spans="1:17" x14ac:dyDescent="0.25">
      <c r="A9" s="45">
        <f>IF(A8=0,0,IF('FNC-ORD_prospetto riassuntivo'!$B$24&gt;A8,A8+1,0))</f>
        <v>0</v>
      </c>
      <c r="B9" s="46">
        <f>'FNC-ORD_prospetto riassuntivo'!$B$13*'FNC-ORD_prospetto riassuntivo'!$B$28*H9</f>
        <v>0</v>
      </c>
      <c r="C9" s="46">
        <v>0</v>
      </c>
      <c r="D9" s="46">
        <f t="shared" si="0"/>
        <v>0</v>
      </c>
      <c r="E9" s="46">
        <v>0</v>
      </c>
      <c r="F9" s="46">
        <f>'FNC-ORD_prospetto riassuntivo'!$B$13</f>
        <v>235000</v>
      </c>
      <c r="G9" s="46">
        <f>B9/((1+IFERROR(SUM('FNC-ORD_prospetto riassuntivo'!$B$30,'FNC-ORD_prospetto riassuntivo'!$B$31)/'FNC-ORD_prospetto riassuntivo'!$B$22,0))^A9)</f>
        <v>0</v>
      </c>
      <c r="H9">
        <f>IF(A9=0,0,IF(OR(A9&lt;'FNC-ORD_prospetto riassuntivo'!$B$24,A9='FNC-ORD_prospetto riassuntivo'!$B$24),1,0))</f>
        <v>0</v>
      </c>
      <c r="J9" s="45">
        <f>IF(J8=0,0,IF('FNC-ORD_prospetto riassuntivo'!$B$24+'FNC-ORD_prospetto riassuntivo'!$B$27&gt;J8,J8+1,0))</f>
        <v>7</v>
      </c>
      <c r="K9" s="46">
        <f>O8*'FNC-ORD_prospetto riassuntivo'!$B$29*Q9</f>
        <v>461.76605538653507</v>
      </c>
      <c r="L9" s="46">
        <f t="shared" si="1"/>
        <v>2241.6371232662204</v>
      </c>
      <c r="M9" s="46">
        <f t="shared" si="2"/>
        <v>2703.4031786527557</v>
      </c>
      <c r="N9" s="47">
        <f t="shared" si="3"/>
        <v>15593.930537729404</v>
      </c>
      <c r="O9" s="46">
        <f>('FNC-ORD_prospetto riassuntivo'!$B$13-N9)*Q9</f>
        <v>219406.06946227059</v>
      </c>
      <c r="P9" s="46">
        <f>K9/(1+SUM('FNC-ORD_prospetto riassuntivo'!$B$30:$B$31)/'FNC-ORD_prospetto riassuntivo'!$B$25)^J9</f>
        <v>451.89511577422417</v>
      </c>
      <c r="Q9">
        <f>IF(J9=0,0,IF(OR(J9&lt;'FNC-ORD_prospetto riassuntivo'!$B$24+'FNC-ORD_prospetto riassuntivo'!$B$27,J9='FNC-ORD_prospetto riassuntivo'!$B$24+'FNC-ORD_prospetto riassuntivo'!$B$27),1,0))</f>
        <v>1</v>
      </c>
    </row>
    <row r="10" spans="1:17" x14ac:dyDescent="0.25">
      <c r="A10" s="45">
        <f>IF(A9=0,0,IF('FNC-ORD_prospetto riassuntivo'!$B$24&gt;A9,A9+1,0))</f>
        <v>0</v>
      </c>
      <c r="B10" s="46">
        <f>'FNC-ORD_prospetto riassuntivo'!$B$13*'FNC-ORD_prospetto riassuntivo'!$B$28*H10</f>
        <v>0</v>
      </c>
      <c r="C10" s="46">
        <v>0</v>
      </c>
      <c r="D10" s="46">
        <f t="shared" si="0"/>
        <v>0</v>
      </c>
      <c r="E10" s="46">
        <v>0</v>
      </c>
      <c r="F10" s="46">
        <f>'FNC-ORD_prospetto riassuntivo'!$B$13</f>
        <v>235000</v>
      </c>
      <c r="G10" s="46">
        <f>B10/((1+IFERROR(SUM('FNC-ORD_prospetto riassuntivo'!$B$30,'FNC-ORD_prospetto riassuntivo'!$B$31)/'FNC-ORD_prospetto riassuntivo'!$B$22,0))^A10)</f>
        <v>0</v>
      </c>
      <c r="H10">
        <f>IF(A10=0,0,IF(OR(A10&lt;'FNC-ORD_prospetto riassuntivo'!$B$24,A10='FNC-ORD_prospetto riassuntivo'!$B$24),1,0))</f>
        <v>0</v>
      </c>
      <c r="J10" s="45">
        <f>IF(J9=0,0,IF('FNC-ORD_prospetto riassuntivo'!$B$24+'FNC-ORD_prospetto riassuntivo'!$B$27&gt;J9,J9+1,0))</f>
        <v>8</v>
      </c>
      <c r="K10" s="46">
        <f>O9*'FNC-ORD_prospetto riassuntivo'!$B$29*Q10</f>
        <v>457.09597804639708</v>
      </c>
      <c r="L10" s="46">
        <f t="shared" si="1"/>
        <v>2246.3072006063585</v>
      </c>
      <c r="M10" s="46">
        <f t="shared" si="2"/>
        <v>2703.4031786527557</v>
      </c>
      <c r="N10" s="47">
        <f t="shared" si="3"/>
        <v>17840.237738335763</v>
      </c>
      <c r="O10" s="46">
        <f>('FNC-ORD_prospetto riassuntivo'!$B$13-N10)*Q10</f>
        <v>217159.76226166423</v>
      </c>
      <c r="P10" s="46">
        <f>K10/(1+SUM('FNC-ORD_prospetto riassuntivo'!$B$30:$B$31)/'FNC-ORD_prospetto riassuntivo'!$B$25)^J10</f>
        <v>445.94615146574563</v>
      </c>
      <c r="Q10">
        <f>IF(J10=0,0,IF(OR(J10&lt;'FNC-ORD_prospetto riassuntivo'!$B$24+'FNC-ORD_prospetto riassuntivo'!$B$27,J10='FNC-ORD_prospetto riassuntivo'!$B$24+'FNC-ORD_prospetto riassuntivo'!$B$27),1,0))</f>
        <v>1</v>
      </c>
    </row>
    <row r="11" spans="1:17" x14ac:dyDescent="0.25">
      <c r="A11" s="45">
        <f>IF(A10=0,0,IF('FNC-ORD_prospetto riassuntivo'!$B$24&gt;A10,A10+1,0))</f>
        <v>0</v>
      </c>
      <c r="B11" s="46">
        <f>'FNC-ORD_prospetto riassuntivo'!$B$13*'FNC-ORD_prospetto riassuntivo'!$B$28*H11</f>
        <v>0</v>
      </c>
      <c r="C11" s="46">
        <v>0</v>
      </c>
      <c r="D11" s="46">
        <f t="shared" si="0"/>
        <v>0</v>
      </c>
      <c r="E11" s="46">
        <v>0</v>
      </c>
      <c r="F11" s="46">
        <f>'FNC-ORD_prospetto riassuntivo'!$B$13</f>
        <v>235000</v>
      </c>
      <c r="G11" s="46">
        <f>B11/((1+IFERROR(SUM('FNC-ORD_prospetto riassuntivo'!$B$30,'FNC-ORD_prospetto riassuntivo'!$B$31)/'FNC-ORD_prospetto riassuntivo'!$B$22,0))^A11)</f>
        <v>0</v>
      </c>
      <c r="H11">
        <f>IF(A11=0,0,IF(OR(A11&lt;'FNC-ORD_prospetto riassuntivo'!$B$24,A11='FNC-ORD_prospetto riassuntivo'!$B$24),1,0))</f>
        <v>0</v>
      </c>
      <c r="J11" s="45">
        <f>IF(J10=0,0,IF('FNC-ORD_prospetto riassuntivo'!$B$24+'FNC-ORD_prospetto riassuntivo'!$B$27&gt;J10,J10+1,0))</f>
        <v>9</v>
      </c>
      <c r="K11" s="46">
        <f>O10*'FNC-ORD_prospetto riassuntivo'!$B$29*Q11</f>
        <v>452.41617137846714</v>
      </c>
      <c r="L11" s="46">
        <f t="shared" si="1"/>
        <v>2250.9870072742888</v>
      </c>
      <c r="M11" s="46">
        <f t="shared" si="2"/>
        <v>2703.4031786527557</v>
      </c>
      <c r="N11" s="47">
        <f t="shared" si="3"/>
        <v>20091.224745610052</v>
      </c>
      <c r="O11" s="46">
        <f>('FNC-ORD_prospetto riassuntivo'!$B$13-N11)*Q11</f>
        <v>214908.77525438994</v>
      </c>
      <c r="P11" s="46">
        <f>K11/(1+SUM('FNC-ORD_prospetto riassuntivo'!$B$30:$B$31)/'FNC-ORD_prospetto riassuntivo'!$B$25)^J11</f>
        <v>440.02010265417874</v>
      </c>
      <c r="Q11">
        <f>IF(J11=0,0,IF(OR(J11&lt;'FNC-ORD_prospetto riassuntivo'!$B$24+'FNC-ORD_prospetto riassuntivo'!$B$27,J11='FNC-ORD_prospetto riassuntivo'!$B$24+'FNC-ORD_prospetto riassuntivo'!$B$27),1,0))</f>
        <v>1</v>
      </c>
    </row>
    <row r="12" spans="1:17" x14ac:dyDescent="0.25">
      <c r="A12" s="45">
        <f>IF(A11=0,0,IF('FNC-ORD_prospetto riassuntivo'!$B$24&gt;A11,A11+1,0))</f>
        <v>0</v>
      </c>
      <c r="B12" s="46">
        <f>'FNC-ORD_prospetto riassuntivo'!$B$13*'FNC-ORD_prospetto riassuntivo'!$B$28*H12</f>
        <v>0</v>
      </c>
      <c r="C12" s="46">
        <v>0</v>
      </c>
      <c r="D12" s="46">
        <f t="shared" si="0"/>
        <v>0</v>
      </c>
      <c r="E12" s="46">
        <v>0</v>
      </c>
      <c r="F12" s="46">
        <f>'FNC-ORD_prospetto riassuntivo'!$B$13</f>
        <v>235000</v>
      </c>
      <c r="G12" s="46">
        <f>B12/((1+IFERROR(SUM('FNC-ORD_prospetto riassuntivo'!$B$30,'FNC-ORD_prospetto riassuntivo'!$B$31)/'FNC-ORD_prospetto riassuntivo'!$B$22,0))^A12)</f>
        <v>0</v>
      </c>
      <c r="H12">
        <f>IF(A12=0,0,IF(OR(A12&lt;'FNC-ORD_prospetto riassuntivo'!$B$24,A12='FNC-ORD_prospetto riassuntivo'!$B$24),1,0))</f>
        <v>0</v>
      </c>
      <c r="J12" s="45">
        <f>IF(J11=0,0,IF('FNC-ORD_prospetto riassuntivo'!$B$24+'FNC-ORD_prospetto riassuntivo'!$B$27&gt;J11,J11+1,0))</f>
        <v>10</v>
      </c>
      <c r="K12" s="46">
        <f>O11*'FNC-ORD_prospetto riassuntivo'!$B$29*Q12</f>
        <v>447.72661511331239</v>
      </c>
      <c r="L12" s="46">
        <f t="shared" si="1"/>
        <v>2255.6765635394431</v>
      </c>
      <c r="M12" s="46">
        <f t="shared" si="2"/>
        <v>2703.4031786527557</v>
      </c>
      <c r="N12" s="47">
        <f t="shared" si="3"/>
        <v>22346.901309149496</v>
      </c>
      <c r="O12" s="46">
        <f>('FNC-ORD_prospetto riassuntivo'!$B$13-N12)*Q12</f>
        <v>212653.09869085051</v>
      </c>
      <c r="P12" s="46">
        <f>K12/(1+SUM('FNC-ORD_prospetto riassuntivo'!$B$30:$B$31)/'FNC-ORD_prospetto riassuntivo'!$B$25)^J12</f>
        <v>434.11689410690366</v>
      </c>
      <c r="Q12">
        <f>IF(J12=0,0,IF(OR(J12&lt;'FNC-ORD_prospetto riassuntivo'!$B$24+'FNC-ORD_prospetto riassuntivo'!$B$27,J12='FNC-ORD_prospetto riassuntivo'!$B$24+'FNC-ORD_prospetto riassuntivo'!$B$27),1,0))</f>
        <v>1</v>
      </c>
    </row>
    <row r="13" spans="1:17" x14ac:dyDescent="0.25">
      <c r="A13" s="45">
        <f>IF(A12=0,0,IF('FNC-ORD_prospetto riassuntivo'!$B$24&gt;A12,A12+1,0))</f>
        <v>0</v>
      </c>
      <c r="B13" s="46">
        <f>'FNC-ORD_prospetto riassuntivo'!$B$13*'FNC-ORD_prospetto riassuntivo'!$B$28*H13</f>
        <v>0</v>
      </c>
      <c r="C13" s="46">
        <v>0</v>
      </c>
      <c r="D13" s="46">
        <f t="shared" si="0"/>
        <v>0</v>
      </c>
      <c r="E13" s="46">
        <v>0</v>
      </c>
      <c r="F13" s="46">
        <f>'FNC-ORD_prospetto riassuntivo'!$B$13</f>
        <v>235000</v>
      </c>
      <c r="G13" s="46">
        <f>B13/((1+IFERROR(SUM('FNC-ORD_prospetto riassuntivo'!$B$30,'FNC-ORD_prospetto riassuntivo'!$B$31)/'FNC-ORD_prospetto riassuntivo'!$B$22,0))^A13)</f>
        <v>0</v>
      </c>
      <c r="H13">
        <f>IF(A13=0,0,IF(OR(A13&lt;'FNC-ORD_prospetto riassuntivo'!$B$24,A13='FNC-ORD_prospetto riassuntivo'!$B$24),1,0))</f>
        <v>0</v>
      </c>
      <c r="J13" s="45">
        <f>IF(J12=0,0,IF('FNC-ORD_prospetto riassuntivo'!$B$24+'FNC-ORD_prospetto riassuntivo'!$B$27&gt;J12,J12+1,0))</f>
        <v>11</v>
      </c>
      <c r="K13" s="46">
        <f>O12*'FNC-ORD_prospetto riassuntivo'!$B$29*Q13</f>
        <v>443.0272889392719</v>
      </c>
      <c r="L13" s="46">
        <f t="shared" si="1"/>
        <v>2260.375889713484</v>
      </c>
      <c r="M13" s="46">
        <f t="shared" si="2"/>
        <v>2703.4031786527557</v>
      </c>
      <c r="N13" s="47">
        <f t="shared" si="3"/>
        <v>24607.277198862979</v>
      </c>
      <c r="O13" s="46">
        <f>('FNC-ORD_prospetto riassuntivo'!$B$13-N13)*Q13</f>
        <v>210392.72280113702</v>
      </c>
      <c r="P13" s="46">
        <f>K13/(1+SUM('FNC-ORD_prospetto riassuntivo'!$B$30:$B$31)/'FNC-ORD_prospetto riassuntivo'!$B$25)^J13</f>
        <v>428.23645082780575</v>
      </c>
      <c r="Q13">
        <f>IF(J13=0,0,IF(OR(J13&lt;'FNC-ORD_prospetto riassuntivo'!$B$24+'FNC-ORD_prospetto riassuntivo'!$B$27,J13='FNC-ORD_prospetto riassuntivo'!$B$24+'FNC-ORD_prospetto riassuntivo'!$B$27),1,0))</f>
        <v>1</v>
      </c>
    </row>
    <row r="14" spans="1:17" x14ac:dyDescent="0.25">
      <c r="A14" s="45">
        <f>IF(A13=0,0,IF('FNC-ORD_prospetto riassuntivo'!$B$24&gt;A13,A13+1,0))</f>
        <v>0</v>
      </c>
      <c r="B14" s="46">
        <f>'FNC-ORD_prospetto riassuntivo'!$B$13*'FNC-ORD_prospetto riassuntivo'!$B$28*H14</f>
        <v>0</v>
      </c>
      <c r="C14" s="46">
        <v>0</v>
      </c>
      <c r="D14" s="46">
        <f t="shared" si="0"/>
        <v>0</v>
      </c>
      <c r="E14" s="46">
        <v>0</v>
      </c>
      <c r="F14" s="46">
        <f>'FNC-ORD_prospetto riassuntivo'!$B$13</f>
        <v>235000</v>
      </c>
      <c r="G14" s="46">
        <f>B14/((1+IFERROR(SUM('FNC-ORD_prospetto riassuntivo'!$B$30,'FNC-ORD_prospetto riassuntivo'!$B$31)/'FNC-ORD_prospetto riassuntivo'!$B$22,0))^A14)</f>
        <v>0</v>
      </c>
      <c r="H14">
        <f>IF(A14=0,0,IF(OR(A14&lt;'FNC-ORD_prospetto riassuntivo'!$B$24,A14='FNC-ORD_prospetto riassuntivo'!$B$24),1,0))</f>
        <v>0</v>
      </c>
      <c r="J14" s="45">
        <f>IF(J13=0,0,IF('FNC-ORD_prospetto riassuntivo'!$B$24+'FNC-ORD_prospetto riassuntivo'!$B$27&gt;J13,J13+1,0))</f>
        <v>12</v>
      </c>
      <c r="K14" s="46">
        <f>O13*'FNC-ORD_prospetto riassuntivo'!$B$29*Q14</f>
        <v>438.31817250236878</v>
      </c>
      <c r="L14" s="46">
        <f t="shared" si="1"/>
        <v>2265.085006150387</v>
      </c>
      <c r="M14" s="46">
        <f t="shared" si="2"/>
        <v>2703.4031786527557</v>
      </c>
      <c r="N14" s="47">
        <f t="shared" si="3"/>
        <v>26872.362205013367</v>
      </c>
      <c r="O14" s="46">
        <f>('FNC-ORD_prospetto riassuntivo'!$B$13-N14)*Q14</f>
        <v>208127.63779498663</v>
      </c>
      <c r="P14" s="46">
        <f>K14/(1+SUM('FNC-ORD_prospetto riassuntivo'!$B$30:$B$31)/'FNC-ORD_prospetto riassuntivo'!$B$25)^J14</f>
        <v>422.37869805654231</v>
      </c>
      <c r="Q14">
        <f>IF(J14=0,0,IF(OR(J14&lt;'FNC-ORD_prospetto riassuntivo'!$B$24+'FNC-ORD_prospetto riassuntivo'!$B$27,J14='FNC-ORD_prospetto riassuntivo'!$B$24+'FNC-ORD_prospetto riassuntivo'!$B$27),1,0))</f>
        <v>1</v>
      </c>
    </row>
    <row r="15" spans="1:17" x14ac:dyDescent="0.25">
      <c r="A15" s="45">
        <f>IF(A14=0,0,IF('FNC-ORD_prospetto riassuntivo'!$B$24&gt;A14,A14+1,0))</f>
        <v>0</v>
      </c>
      <c r="B15" s="46">
        <f>'FNC-ORD_prospetto riassuntivo'!$B$13*'FNC-ORD_prospetto riassuntivo'!$B$28*H15</f>
        <v>0</v>
      </c>
      <c r="C15" s="46">
        <v>0</v>
      </c>
      <c r="D15" s="46">
        <f t="shared" si="0"/>
        <v>0</v>
      </c>
      <c r="E15" s="46">
        <v>0</v>
      </c>
      <c r="F15" s="46">
        <f>'FNC-ORD_prospetto riassuntivo'!$B$13</f>
        <v>235000</v>
      </c>
      <c r="G15" s="46">
        <f>B15/((1+IFERROR(SUM('FNC-ORD_prospetto riassuntivo'!$B$30,'FNC-ORD_prospetto riassuntivo'!$B$31)/'FNC-ORD_prospetto riassuntivo'!$B$22,0))^A15)</f>
        <v>0</v>
      </c>
      <c r="H15">
        <f>IF(A15=0,0,IF(OR(A15&lt;'FNC-ORD_prospetto riassuntivo'!$B$24,A15='FNC-ORD_prospetto riassuntivo'!$B$24),1,0))</f>
        <v>0</v>
      </c>
      <c r="J15" s="45">
        <f>IF(J14=0,0,IF('FNC-ORD_prospetto riassuntivo'!$B$24+'FNC-ORD_prospetto riassuntivo'!$B$27&gt;J14,J14+1,0))</f>
        <v>13</v>
      </c>
      <c r="K15" s="46">
        <f>O14*'FNC-ORD_prospetto riassuntivo'!$B$29*Q15</f>
        <v>433.59924540622211</v>
      </c>
      <c r="L15" s="46">
        <f t="shared" si="1"/>
        <v>2269.8039332465337</v>
      </c>
      <c r="M15" s="46">
        <f t="shared" si="2"/>
        <v>2703.4031786527557</v>
      </c>
      <c r="N15" s="47">
        <f t="shared" si="3"/>
        <v>29142.166138259901</v>
      </c>
      <c r="O15" s="46">
        <f>('FNC-ORD_prospetto riassuntivo'!$B$13-N15)*Q15</f>
        <v>205857.8338617401</v>
      </c>
      <c r="P15" s="46">
        <f>K15/(1+SUM('FNC-ORD_prospetto riassuntivo'!$B$30:$B$31)/'FNC-ORD_prospetto riassuntivo'!$B$25)^J15</f>
        <v>416.54356126781067</v>
      </c>
      <c r="Q15">
        <f>IF(J15=0,0,IF(OR(J15&lt;'FNC-ORD_prospetto riassuntivo'!$B$24+'FNC-ORD_prospetto riassuntivo'!$B$27,J15='FNC-ORD_prospetto riassuntivo'!$B$24+'FNC-ORD_prospetto riassuntivo'!$B$27),1,0))</f>
        <v>1</v>
      </c>
    </row>
    <row r="16" spans="1:17" x14ac:dyDescent="0.25">
      <c r="A16" s="45">
        <f>IF(A15=0,0,IF('FNC-ORD_prospetto riassuntivo'!$B$24&gt;A15,A15+1,0))</f>
        <v>0</v>
      </c>
      <c r="B16" s="46">
        <f>'FNC-ORD_prospetto riassuntivo'!$B$13*'FNC-ORD_prospetto riassuntivo'!$B$28*H16</f>
        <v>0</v>
      </c>
      <c r="C16" s="46">
        <v>0</v>
      </c>
      <c r="D16" s="46">
        <f t="shared" si="0"/>
        <v>0</v>
      </c>
      <c r="E16" s="46">
        <v>0</v>
      </c>
      <c r="F16" s="46">
        <f>'FNC-ORD_prospetto riassuntivo'!$B$13</f>
        <v>235000</v>
      </c>
      <c r="G16" s="46">
        <f>B16/((1+IFERROR(SUM('FNC-ORD_prospetto riassuntivo'!$B$30,'FNC-ORD_prospetto riassuntivo'!$B$31)/'FNC-ORD_prospetto riassuntivo'!$B$22,0))^A16)</f>
        <v>0</v>
      </c>
      <c r="H16">
        <f>IF(A16=0,0,IF(OR(A16&lt;'FNC-ORD_prospetto riassuntivo'!$B$24,A16='FNC-ORD_prospetto riassuntivo'!$B$24),1,0))</f>
        <v>0</v>
      </c>
      <c r="J16" s="45">
        <f>IF(J15=0,0,IF('FNC-ORD_prospetto riassuntivo'!$B$24+'FNC-ORD_prospetto riassuntivo'!$B$27&gt;J15,J15+1,0))</f>
        <v>14</v>
      </c>
      <c r="K16" s="46">
        <f>O15*'FNC-ORD_prospetto riassuntivo'!$B$29*Q16</f>
        <v>428.87048721195856</v>
      </c>
      <c r="L16" s="46">
        <f t="shared" si="1"/>
        <v>2274.532691440797</v>
      </c>
      <c r="M16" s="46">
        <f t="shared" si="2"/>
        <v>2703.4031786527557</v>
      </c>
      <c r="N16" s="47">
        <f t="shared" si="3"/>
        <v>31416.698829700697</v>
      </c>
      <c r="O16" s="46">
        <f>('FNC-ORD_prospetto riassuntivo'!$B$13-N16)*Q16</f>
        <v>203583.3011702993</v>
      </c>
      <c r="P16" s="46">
        <f>K16/(1+SUM('FNC-ORD_prospetto riassuntivo'!$B$30:$B$31)/'FNC-ORD_prospetto riassuntivo'!$B$25)^J16</f>
        <v>410.73096617061987</v>
      </c>
      <c r="Q16">
        <f>IF(J16=0,0,IF(OR(J16&lt;'FNC-ORD_prospetto riassuntivo'!$B$24+'FNC-ORD_prospetto riassuntivo'!$B$27,J16='FNC-ORD_prospetto riassuntivo'!$B$24+'FNC-ORD_prospetto riassuntivo'!$B$27),1,0))</f>
        <v>1</v>
      </c>
    </row>
    <row r="17" spans="1:17" x14ac:dyDescent="0.25">
      <c r="A17" s="45">
        <f>IF(A16=0,0,IF('FNC-ORD_prospetto riassuntivo'!$B$24&gt;A16,A16+1,0))</f>
        <v>0</v>
      </c>
      <c r="B17" s="46">
        <f>'FNC-ORD_prospetto riassuntivo'!$B$13*'FNC-ORD_prospetto riassuntivo'!$B$28*H17</f>
        <v>0</v>
      </c>
      <c r="C17" s="46">
        <v>0</v>
      </c>
      <c r="D17" s="46">
        <f t="shared" si="0"/>
        <v>0</v>
      </c>
      <c r="E17" s="46">
        <v>0</v>
      </c>
      <c r="F17" s="46">
        <f>'FNC-ORD_prospetto riassuntivo'!$B$13</f>
        <v>235000</v>
      </c>
      <c r="G17" s="46">
        <f>B17/((1+IFERROR(SUM('FNC-ORD_prospetto riassuntivo'!$B$30,'FNC-ORD_prospetto riassuntivo'!$B$31)/'FNC-ORD_prospetto riassuntivo'!$B$22,0))^A17)</f>
        <v>0</v>
      </c>
      <c r="H17">
        <f>IF(A17=0,0,IF(OR(A17&lt;'FNC-ORD_prospetto riassuntivo'!$B$24,A17='FNC-ORD_prospetto riassuntivo'!$B$24),1,0))</f>
        <v>0</v>
      </c>
      <c r="J17" s="45">
        <f>IF(J16=0,0,IF('FNC-ORD_prospetto riassuntivo'!$B$24+'FNC-ORD_prospetto riassuntivo'!$B$27&gt;J16,J16+1,0))</f>
        <v>15</v>
      </c>
      <c r="K17" s="46">
        <f>O16*'FNC-ORD_prospetto riassuntivo'!$B$29*Q17</f>
        <v>424.13187743812352</v>
      </c>
      <c r="L17" s="46">
        <f t="shared" si="1"/>
        <v>2279.2713012146323</v>
      </c>
      <c r="M17" s="46">
        <f t="shared" si="2"/>
        <v>2703.4031786527557</v>
      </c>
      <c r="N17" s="47">
        <f t="shared" si="3"/>
        <v>33695.970130915332</v>
      </c>
      <c r="O17" s="46">
        <f>('FNC-ORD_prospetto riassuntivo'!$B$13-N17)*Q17</f>
        <v>201304.02986908465</v>
      </c>
      <c r="P17" s="46">
        <f>K17/(1+SUM('FNC-ORD_prospetto riassuntivo'!$B$30:$B$31)/'FNC-ORD_prospetto riassuntivo'!$B$25)^J17</f>
        <v>404.94083870756259</v>
      </c>
      <c r="Q17">
        <f>IF(J17=0,0,IF(OR(J17&lt;'FNC-ORD_prospetto riassuntivo'!$B$24+'FNC-ORD_prospetto riassuntivo'!$B$27,J17='FNC-ORD_prospetto riassuntivo'!$B$24+'FNC-ORD_prospetto riassuntivo'!$B$27),1,0))</f>
        <v>1</v>
      </c>
    </row>
    <row r="18" spans="1:17" x14ac:dyDescent="0.25">
      <c r="A18" s="45">
        <f>IF(A17=0,0,IF('FNC-ORD_prospetto riassuntivo'!$B$24&gt;A17,A17+1,0))</f>
        <v>0</v>
      </c>
      <c r="B18" s="46">
        <f>'FNC-ORD_prospetto riassuntivo'!$B$13*'FNC-ORD_prospetto riassuntivo'!$B$28*H18</f>
        <v>0</v>
      </c>
      <c r="C18" s="46">
        <v>0</v>
      </c>
      <c r="D18" s="46">
        <f t="shared" si="0"/>
        <v>0</v>
      </c>
      <c r="E18" s="46">
        <v>0</v>
      </c>
      <c r="F18" s="46">
        <f>'FNC-ORD_prospetto riassuntivo'!$B$13</f>
        <v>235000</v>
      </c>
      <c r="G18" s="46">
        <f>B18/((1+IFERROR(SUM('FNC-ORD_prospetto riassuntivo'!$B$30,'FNC-ORD_prospetto riassuntivo'!$B$31)/'FNC-ORD_prospetto riassuntivo'!$B$22,0))^A18)</f>
        <v>0</v>
      </c>
      <c r="H18">
        <f>IF(A18=0,0,IF(OR(A18&lt;'FNC-ORD_prospetto riassuntivo'!$B$24,A18='FNC-ORD_prospetto riassuntivo'!$B$24),1,0))</f>
        <v>0</v>
      </c>
      <c r="J18" s="45">
        <f>IF(J17=0,0,IF('FNC-ORD_prospetto riassuntivo'!$B$24+'FNC-ORD_prospetto riassuntivo'!$B$27&gt;J17,J17+1,0))</f>
        <v>16</v>
      </c>
      <c r="K18" s="46">
        <f>O17*'FNC-ORD_prospetto riassuntivo'!$B$29*Q18</f>
        <v>419.38339556059304</v>
      </c>
      <c r="L18" s="46">
        <f t="shared" si="1"/>
        <v>2284.0197830921625</v>
      </c>
      <c r="M18" s="46">
        <f t="shared" si="2"/>
        <v>2703.4031786527557</v>
      </c>
      <c r="N18" s="47">
        <f t="shared" si="3"/>
        <v>35979.989914007492</v>
      </c>
      <c r="O18" s="46">
        <f>('FNC-ORD_prospetto riassuntivo'!$B$13-N18)*Q18</f>
        <v>199020.01008599252</v>
      </c>
      <c r="P18" s="46">
        <f>K18/(1+SUM('FNC-ORD_prospetto riassuntivo'!$B$30:$B$31)/'FNC-ORD_prospetto riassuntivo'!$B$25)^J18</f>
        <v>399.17310505409228</v>
      </c>
      <c r="Q18">
        <f>IF(J18=0,0,IF(OR(J18&lt;'FNC-ORD_prospetto riassuntivo'!$B$24+'FNC-ORD_prospetto riassuntivo'!$B$27,J18='FNC-ORD_prospetto riassuntivo'!$B$24+'FNC-ORD_prospetto riassuntivo'!$B$27),1,0))</f>
        <v>1</v>
      </c>
    </row>
    <row r="19" spans="1:17" x14ac:dyDescent="0.25">
      <c r="A19" s="45">
        <f>IF(A18=0,0,IF('FNC-ORD_prospetto riassuntivo'!$B$24&gt;A18,A18+1,0))</f>
        <v>0</v>
      </c>
      <c r="B19" s="46">
        <f>'FNC-ORD_prospetto riassuntivo'!$B$13*'FNC-ORD_prospetto riassuntivo'!$B$28*H19</f>
        <v>0</v>
      </c>
      <c r="C19" s="46">
        <v>0</v>
      </c>
      <c r="D19" s="46">
        <f t="shared" si="0"/>
        <v>0</v>
      </c>
      <c r="E19" s="46">
        <v>0</v>
      </c>
      <c r="F19" s="46">
        <f>'FNC-ORD_prospetto riassuntivo'!$B$13</f>
        <v>235000</v>
      </c>
      <c r="G19" s="46">
        <f>B19/((1+IFERROR(SUM('FNC-ORD_prospetto riassuntivo'!$B$30,'FNC-ORD_prospetto riassuntivo'!$B$31)/'FNC-ORD_prospetto riassuntivo'!$B$22,0))^A19)</f>
        <v>0</v>
      </c>
      <c r="H19">
        <f>IF(A19=0,0,IF(OR(A19&lt;'FNC-ORD_prospetto riassuntivo'!$B$24,A19='FNC-ORD_prospetto riassuntivo'!$B$24),1,0))</f>
        <v>0</v>
      </c>
      <c r="J19" s="45">
        <f>IF(J18=0,0,IF('FNC-ORD_prospetto riassuntivo'!$B$24+'FNC-ORD_prospetto riassuntivo'!$B$27&gt;J18,J18+1,0))</f>
        <v>17</v>
      </c>
      <c r="K19" s="46">
        <f>O18*'FNC-ORD_prospetto riassuntivo'!$B$29*Q19</f>
        <v>414.62502101248441</v>
      </c>
      <c r="L19" s="46">
        <f t="shared" si="1"/>
        <v>2288.7781576402713</v>
      </c>
      <c r="M19" s="46">
        <f t="shared" si="2"/>
        <v>2703.4031786527557</v>
      </c>
      <c r="N19" s="47">
        <f t="shared" si="3"/>
        <v>38268.768071647763</v>
      </c>
      <c r="O19" s="46">
        <f>('FNC-ORD_prospetto riassuntivo'!$B$13-N19)*Q19</f>
        <v>196731.23192835224</v>
      </c>
      <c r="P19" s="46">
        <f>K19/(1+SUM('FNC-ORD_prospetto riassuntivo'!$B$30:$B$31)/'FNC-ORD_prospetto riassuntivo'!$B$25)^J19</f>
        <v>393.42769161779944</v>
      </c>
      <c r="Q19">
        <f>IF(J19=0,0,IF(OR(J19&lt;'FNC-ORD_prospetto riassuntivo'!$B$24+'FNC-ORD_prospetto riassuntivo'!$B$27,J19='FNC-ORD_prospetto riassuntivo'!$B$24+'FNC-ORD_prospetto riassuntivo'!$B$27),1,0))</f>
        <v>1</v>
      </c>
    </row>
    <row r="20" spans="1:17" x14ac:dyDescent="0.25">
      <c r="A20" s="45">
        <f>IF(A19=0,0,IF('FNC-ORD_prospetto riassuntivo'!$B$24&gt;A19,A19+1,0))</f>
        <v>0</v>
      </c>
      <c r="B20" s="46">
        <f>'FNC-ORD_prospetto riassuntivo'!$B$13*'FNC-ORD_prospetto riassuntivo'!$B$28*H20</f>
        <v>0</v>
      </c>
      <c r="C20" s="46">
        <v>0</v>
      </c>
      <c r="D20" s="46">
        <f t="shared" si="0"/>
        <v>0</v>
      </c>
      <c r="E20" s="46">
        <v>0</v>
      </c>
      <c r="F20" s="46">
        <f>'FNC-ORD_prospetto riassuntivo'!$B$13</f>
        <v>235000</v>
      </c>
      <c r="G20" s="46">
        <f>B20/((1+IFERROR(SUM('FNC-ORD_prospetto riassuntivo'!$B$30,'FNC-ORD_prospetto riassuntivo'!$B$31)/'FNC-ORD_prospetto riassuntivo'!$B$22,0))^A20)</f>
        <v>0</v>
      </c>
      <c r="H20">
        <f>IF(A20=0,0,IF(OR(A20&lt;'FNC-ORD_prospetto riassuntivo'!$B$24,A20='FNC-ORD_prospetto riassuntivo'!$B$24),1,0))</f>
        <v>0</v>
      </c>
      <c r="J20" s="45">
        <f>IF(J19=0,0,IF('FNC-ORD_prospetto riassuntivo'!$B$24+'FNC-ORD_prospetto riassuntivo'!$B$27&gt;J19,J19+1,0))</f>
        <v>18</v>
      </c>
      <c r="K20" s="46">
        <f>O19*'FNC-ORD_prospetto riassuntivo'!$B$29*Q20</f>
        <v>409.85673318406714</v>
      </c>
      <c r="L20" s="46">
        <f t="shared" si="1"/>
        <v>2293.5464454686885</v>
      </c>
      <c r="M20" s="46">
        <f t="shared" si="2"/>
        <v>2703.4031786527557</v>
      </c>
      <c r="N20" s="47">
        <f t="shared" si="3"/>
        <v>40562.314517116451</v>
      </c>
      <c r="O20" s="46">
        <f>('FNC-ORD_prospetto riassuntivo'!$B$13-N20)*Q20</f>
        <v>194437.68548288353</v>
      </c>
      <c r="P20" s="46">
        <f>K20/(1+SUM('FNC-ORD_prospetto riassuntivo'!$B$30:$B$31)/'FNC-ORD_prospetto riassuntivo'!$B$25)^J20</f>
        <v>387.70452503769201</v>
      </c>
      <c r="Q20">
        <f>IF(J20=0,0,IF(OR(J20&lt;'FNC-ORD_prospetto riassuntivo'!$B$24+'FNC-ORD_prospetto riassuntivo'!$B$27,J20='FNC-ORD_prospetto riassuntivo'!$B$24+'FNC-ORD_prospetto riassuntivo'!$B$27),1,0))</f>
        <v>1</v>
      </c>
    </row>
    <row r="21" spans="1:17" x14ac:dyDescent="0.25">
      <c r="A21" s="45">
        <f>IF(A20=0,0,IF('FNC-ORD_prospetto riassuntivo'!$B$24&gt;A20,A20+1,0))</f>
        <v>0</v>
      </c>
      <c r="B21" s="46">
        <f>'FNC-ORD_prospetto riassuntivo'!$B$13*'FNC-ORD_prospetto riassuntivo'!$B$28*H21</f>
        <v>0</v>
      </c>
      <c r="C21" s="46">
        <v>0</v>
      </c>
      <c r="D21" s="46">
        <f t="shared" si="0"/>
        <v>0</v>
      </c>
      <c r="E21" s="46">
        <v>0</v>
      </c>
      <c r="F21" s="46">
        <f>'FNC-ORD_prospetto riassuntivo'!$B$13</f>
        <v>235000</v>
      </c>
      <c r="G21" s="46">
        <f>B21/((1+IFERROR(SUM('FNC-ORD_prospetto riassuntivo'!$B$30,'FNC-ORD_prospetto riassuntivo'!$B$31)/'FNC-ORD_prospetto riassuntivo'!$B$22,0))^A21)</f>
        <v>0</v>
      </c>
      <c r="H21">
        <f>IF(A21=0,0,IF(OR(A21&lt;'FNC-ORD_prospetto riassuntivo'!$B$24,A21='FNC-ORD_prospetto riassuntivo'!$B$24),1,0))</f>
        <v>0</v>
      </c>
      <c r="J21" s="45">
        <f>IF(J20=0,0,IF('FNC-ORD_prospetto riassuntivo'!$B$24+'FNC-ORD_prospetto riassuntivo'!$B$27&gt;J20,J20+1,0))</f>
        <v>19</v>
      </c>
      <c r="K21" s="46">
        <f>O20*'FNC-ORD_prospetto riassuntivo'!$B$29*Q21</f>
        <v>405.07851142267401</v>
      </c>
      <c r="L21" s="46">
        <f t="shared" si="1"/>
        <v>2298.3246672300816</v>
      </c>
      <c r="M21" s="46">
        <f t="shared" si="2"/>
        <v>2703.4031786527557</v>
      </c>
      <c r="N21" s="47">
        <f t="shared" si="3"/>
        <v>42860.639184346532</v>
      </c>
      <c r="O21" s="46">
        <f>('FNC-ORD_prospetto riassuntivo'!$B$13-N21)*Q21</f>
        <v>192139.36081565346</v>
      </c>
      <c r="P21" s="46">
        <f>K21/(1+SUM('FNC-ORD_prospetto riassuntivo'!$B$30:$B$31)/'FNC-ORD_prospetto riassuntivo'!$B$25)^J21</f>
        <v>382.0035321834776</v>
      </c>
      <c r="Q21">
        <f>IF(J21=0,0,IF(OR(J21&lt;'FNC-ORD_prospetto riassuntivo'!$B$24+'FNC-ORD_prospetto riassuntivo'!$B$27,J21='FNC-ORD_prospetto riassuntivo'!$B$24+'FNC-ORD_prospetto riassuntivo'!$B$27),1,0))</f>
        <v>1</v>
      </c>
    </row>
    <row r="22" spans="1:17" x14ac:dyDescent="0.25">
      <c r="A22" s="45">
        <f>IF(A21=0,0,IF('FNC-ORD_prospetto riassuntivo'!$B$24&gt;A21,A21+1,0))</f>
        <v>0</v>
      </c>
      <c r="B22" s="46">
        <f>'FNC-ORD_prospetto riassuntivo'!$B$13*'FNC-ORD_prospetto riassuntivo'!$B$28*H22</f>
        <v>0</v>
      </c>
      <c r="C22" s="46">
        <v>0</v>
      </c>
      <c r="D22" s="46">
        <f t="shared" si="0"/>
        <v>0</v>
      </c>
      <c r="E22" s="46">
        <v>0</v>
      </c>
      <c r="F22" s="46">
        <f>'FNC-ORD_prospetto riassuntivo'!$B$13</f>
        <v>235000</v>
      </c>
      <c r="G22" s="46">
        <f>B22/((1+IFERROR(SUM('FNC-ORD_prospetto riassuntivo'!$B$30,'FNC-ORD_prospetto riassuntivo'!$B$31)/'FNC-ORD_prospetto riassuntivo'!$B$22,0))^A22)</f>
        <v>0</v>
      </c>
      <c r="H22">
        <f>IF(A22=0,0,IF(OR(A22&lt;'FNC-ORD_prospetto riassuntivo'!$B$24,A22='FNC-ORD_prospetto riassuntivo'!$B$24),1,0))</f>
        <v>0</v>
      </c>
      <c r="J22" s="45">
        <f>IF(J21=0,0,IF('FNC-ORD_prospetto riassuntivo'!$B$24+'FNC-ORD_prospetto riassuntivo'!$B$27&gt;J21,J21+1,0))</f>
        <v>20</v>
      </c>
      <c r="K22" s="46">
        <f>O21*'FNC-ORD_prospetto riassuntivo'!$B$29*Q22</f>
        <v>400.29033503261138</v>
      </c>
      <c r="L22" s="46">
        <f t="shared" si="1"/>
        <v>2303.1128436201443</v>
      </c>
      <c r="M22" s="46">
        <f t="shared" si="2"/>
        <v>2703.4031786527557</v>
      </c>
      <c r="N22" s="47">
        <f t="shared" si="3"/>
        <v>45163.752027966679</v>
      </c>
      <c r="O22" s="46">
        <f>('FNC-ORD_prospetto riassuntivo'!$B$13-N22)*Q22</f>
        <v>189836.24797203334</v>
      </c>
      <c r="P22" s="46">
        <f>K22/(1+SUM('FNC-ORD_prospetto riassuntivo'!$B$30:$B$31)/'FNC-ORD_prospetto riassuntivo'!$B$25)^J22</f>
        <v>376.32464015484788</v>
      </c>
      <c r="Q22">
        <f>IF(J22=0,0,IF(OR(J22&lt;'FNC-ORD_prospetto riassuntivo'!$B$24+'FNC-ORD_prospetto riassuntivo'!$B$27,J22='FNC-ORD_prospetto riassuntivo'!$B$24+'FNC-ORD_prospetto riassuntivo'!$B$27),1,0))</f>
        <v>1</v>
      </c>
    </row>
    <row r="23" spans="1:17" x14ac:dyDescent="0.25">
      <c r="A23" s="45">
        <f>IF(A22=0,0,IF('FNC-ORD_prospetto riassuntivo'!$B$24&gt;A22,A22+1,0))</f>
        <v>0</v>
      </c>
      <c r="B23" s="46">
        <f>'FNC-ORD_prospetto riassuntivo'!$B$13*'FNC-ORD_prospetto riassuntivo'!$B$28*H23</f>
        <v>0</v>
      </c>
      <c r="C23" s="46">
        <v>0</v>
      </c>
      <c r="D23" s="46">
        <f t="shared" si="0"/>
        <v>0</v>
      </c>
      <c r="E23" s="46">
        <v>0</v>
      </c>
      <c r="F23" s="46">
        <f>'FNC-ORD_prospetto riassuntivo'!$B$13</f>
        <v>235000</v>
      </c>
      <c r="G23" s="46">
        <f>B23/((1+IFERROR(SUM('FNC-ORD_prospetto riassuntivo'!$B$30,'FNC-ORD_prospetto riassuntivo'!$B$31)/'FNC-ORD_prospetto riassuntivo'!$B$22,0))^A23)</f>
        <v>0</v>
      </c>
      <c r="H23">
        <f>IF(A23=0,0,IF(OR(A23&lt;'FNC-ORD_prospetto riassuntivo'!$B$24,A23='FNC-ORD_prospetto riassuntivo'!$B$24),1,0))</f>
        <v>0</v>
      </c>
      <c r="J23" s="45">
        <f>IF(J22=0,0,IF('FNC-ORD_prospetto riassuntivo'!$B$24+'FNC-ORD_prospetto riassuntivo'!$B$27&gt;J22,J22+1,0))</f>
        <v>21</v>
      </c>
      <c r="K23" s="46">
        <f>O22*'FNC-ORD_prospetto riassuntivo'!$B$29*Q23</f>
        <v>395.49218327506946</v>
      </c>
      <c r="L23" s="46">
        <f t="shared" si="1"/>
        <v>2307.910995377686</v>
      </c>
      <c r="M23" s="46">
        <f t="shared" si="2"/>
        <v>2703.4031786527557</v>
      </c>
      <c r="N23" s="47">
        <f t="shared" si="3"/>
        <v>47471.663023344365</v>
      </c>
      <c r="O23" s="46">
        <f>('FNC-ORD_prospetto riassuntivo'!$B$13-N23)*Q23</f>
        <v>187528.33697665564</v>
      </c>
      <c r="P23" s="46">
        <f>K23/(1+SUM('FNC-ORD_prospetto riassuntivo'!$B$30:$B$31)/'FNC-ORD_prospetto riassuntivo'!$B$25)^J23</f>
        <v>370.66777628076454</v>
      </c>
      <c r="Q23">
        <f>IF(J23=0,0,IF(OR(J23&lt;'FNC-ORD_prospetto riassuntivo'!$B$24+'FNC-ORD_prospetto riassuntivo'!$B$27,J23='FNC-ORD_prospetto riassuntivo'!$B$24+'FNC-ORD_prospetto riassuntivo'!$B$27),1,0))</f>
        <v>1</v>
      </c>
    </row>
    <row r="24" spans="1:17" x14ac:dyDescent="0.25">
      <c r="A24" s="45">
        <f>IF(A23=0,0,IF('FNC-ORD_prospetto riassuntivo'!$B$24&gt;A23,A23+1,0))</f>
        <v>0</v>
      </c>
      <c r="B24" s="46">
        <f>'FNC-ORD_prospetto riassuntivo'!$B$13*'FNC-ORD_prospetto riassuntivo'!$B$28*H24</f>
        <v>0</v>
      </c>
      <c r="C24" s="46">
        <v>0</v>
      </c>
      <c r="D24" s="46">
        <f t="shared" si="0"/>
        <v>0</v>
      </c>
      <c r="E24" s="46">
        <v>0</v>
      </c>
      <c r="F24" s="46">
        <f>'FNC-ORD_prospetto riassuntivo'!$B$13</f>
        <v>235000</v>
      </c>
      <c r="G24" s="46">
        <f>B24/((1+IFERROR(SUM('FNC-ORD_prospetto riassuntivo'!$B$30,'FNC-ORD_prospetto riassuntivo'!$B$31)/'FNC-ORD_prospetto riassuntivo'!$B$22,0))^A24)</f>
        <v>0</v>
      </c>
      <c r="H24">
        <f>IF(A24=0,0,IF(OR(A24&lt;'FNC-ORD_prospetto riassuntivo'!$B$24,A24='FNC-ORD_prospetto riassuntivo'!$B$24),1,0))</f>
        <v>0</v>
      </c>
      <c r="J24" s="45">
        <f>IF(J23=0,0,IF('FNC-ORD_prospetto riassuntivo'!$B$24+'FNC-ORD_prospetto riassuntivo'!$B$27&gt;J23,J23+1,0))</f>
        <v>22</v>
      </c>
      <c r="K24" s="46">
        <f>O23*'FNC-ORD_prospetto riassuntivo'!$B$29*Q24</f>
        <v>390.6840353680326</v>
      </c>
      <c r="L24" s="46">
        <f t="shared" si="1"/>
        <v>2312.719143284723</v>
      </c>
      <c r="M24" s="46">
        <f t="shared" si="2"/>
        <v>2703.4031786527557</v>
      </c>
      <c r="N24" s="47">
        <f t="shared" si="3"/>
        <v>49784.38216662909</v>
      </c>
      <c r="O24" s="46">
        <f>('FNC-ORD_prospetto riassuntivo'!$B$13-N24)*Q24</f>
        <v>185215.61783337092</v>
      </c>
      <c r="P24" s="46">
        <f>K24/(1+SUM('FNC-ORD_prospetto riassuntivo'!$B$30:$B$31)/'FNC-ORD_prospetto riassuntivo'!$B$25)^J24</f>
        <v>365.03286811874881</v>
      </c>
      <c r="Q24">
        <f>IF(J24=0,0,IF(OR(J24&lt;'FNC-ORD_prospetto riassuntivo'!$B$24+'FNC-ORD_prospetto riassuntivo'!$B$27,J24='FNC-ORD_prospetto riassuntivo'!$B$24+'FNC-ORD_prospetto riassuntivo'!$B$27),1,0))</f>
        <v>1</v>
      </c>
    </row>
    <row r="25" spans="1:17" x14ac:dyDescent="0.25">
      <c r="A25" s="45">
        <f>IF(A24=0,0,IF('FNC-ORD_prospetto riassuntivo'!$B$24&gt;A24,A24+1,0))</f>
        <v>0</v>
      </c>
      <c r="B25" s="46">
        <f>'FNC-ORD_prospetto riassuntivo'!$B$13*'FNC-ORD_prospetto riassuntivo'!$B$28*H25</f>
        <v>0</v>
      </c>
      <c r="C25" s="46">
        <v>0</v>
      </c>
      <c r="D25" s="46">
        <f t="shared" si="0"/>
        <v>0</v>
      </c>
      <c r="E25" s="46">
        <v>0</v>
      </c>
      <c r="F25" s="46">
        <f>'FNC-ORD_prospetto riassuntivo'!$B$13</f>
        <v>235000</v>
      </c>
      <c r="G25" s="46">
        <f>B25/((1+IFERROR(SUM('FNC-ORD_prospetto riassuntivo'!$B$30,'FNC-ORD_prospetto riassuntivo'!$B$31)/'FNC-ORD_prospetto riassuntivo'!$B$22,0))^A25)</f>
        <v>0</v>
      </c>
      <c r="H25">
        <f>IF(A25=0,0,IF(OR(A25&lt;'FNC-ORD_prospetto riassuntivo'!$B$24,A25='FNC-ORD_prospetto riassuntivo'!$B$24),1,0))</f>
        <v>0</v>
      </c>
      <c r="J25" s="45">
        <f>IF(J24=0,0,IF('FNC-ORD_prospetto riassuntivo'!$B$24+'FNC-ORD_prospetto riassuntivo'!$B$27&gt;J24,J24+1,0))</f>
        <v>23</v>
      </c>
      <c r="K25" s="46">
        <f>O24*'FNC-ORD_prospetto riassuntivo'!$B$29*Q25</f>
        <v>385.86587048618941</v>
      </c>
      <c r="L25" s="46">
        <f t="shared" si="1"/>
        <v>2317.5373081665662</v>
      </c>
      <c r="M25" s="46">
        <f t="shared" si="2"/>
        <v>2703.4031786527557</v>
      </c>
      <c r="N25" s="47">
        <f t="shared" si="3"/>
        <v>52101.919474795657</v>
      </c>
      <c r="O25" s="46">
        <f>('FNC-ORD_prospetto riassuntivo'!$B$13-N25)*Q25</f>
        <v>182898.08052520434</v>
      </c>
      <c r="P25" s="46">
        <f>K25/(1+SUM('FNC-ORD_prospetto riassuntivo'!$B$30:$B$31)/'FNC-ORD_prospetto riassuntivo'!$B$25)^J25</f>
        <v>359.41984345417171</v>
      </c>
      <c r="Q25">
        <f>IF(J25=0,0,IF(OR(J25&lt;'FNC-ORD_prospetto riassuntivo'!$B$24+'FNC-ORD_prospetto riassuntivo'!$B$27,J25='FNC-ORD_prospetto riassuntivo'!$B$24+'FNC-ORD_prospetto riassuntivo'!$B$27),1,0))</f>
        <v>1</v>
      </c>
    </row>
    <row r="26" spans="1:17" x14ac:dyDescent="0.25">
      <c r="A26" s="45">
        <f>IF(A25=0,0,IF('FNC-ORD_prospetto riassuntivo'!$B$24&gt;A25,A25+1,0))</f>
        <v>0</v>
      </c>
      <c r="B26" s="46">
        <f>'FNC-ORD_prospetto riassuntivo'!$B$13*'FNC-ORD_prospetto riassuntivo'!$B$28*H26</f>
        <v>0</v>
      </c>
      <c r="C26" s="46">
        <v>0</v>
      </c>
      <c r="D26" s="46">
        <f t="shared" si="0"/>
        <v>0</v>
      </c>
      <c r="E26" s="46">
        <v>0</v>
      </c>
      <c r="F26" s="46">
        <f>'FNC-ORD_prospetto riassuntivo'!$B$13</f>
        <v>235000</v>
      </c>
      <c r="G26" s="46">
        <f>B26/((1+IFERROR(SUM('FNC-ORD_prospetto riassuntivo'!$B$30,'FNC-ORD_prospetto riassuntivo'!$B$31)/'FNC-ORD_prospetto riassuntivo'!$B$22,0))^A26)</f>
        <v>0</v>
      </c>
      <c r="H26">
        <f>IF(A26=0,0,IF(OR(A26&lt;'FNC-ORD_prospetto riassuntivo'!$B$24,A26='FNC-ORD_prospetto riassuntivo'!$B$24),1,0))</f>
        <v>0</v>
      </c>
      <c r="J26" s="45">
        <f>IF(J25=0,0,IF('FNC-ORD_prospetto riassuntivo'!$B$24+'FNC-ORD_prospetto riassuntivo'!$B$27&gt;J25,J25+1,0))</f>
        <v>24</v>
      </c>
      <c r="K26" s="46">
        <f>O25*'FNC-ORD_prospetto riassuntivo'!$B$29*Q26</f>
        <v>381.03766776084234</v>
      </c>
      <c r="L26" s="46">
        <f t="shared" si="1"/>
        <v>2322.3655108919133</v>
      </c>
      <c r="M26" s="46">
        <f t="shared" si="2"/>
        <v>2703.4031786527557</v>
      </c>
      <c r="N26" s="47">
        <f t="shared" si="3"/>
        <v>54424.284985687569</v>
      </c>
      <c r="O26" s="46">
        <f>('FNC-ORD_prospetto riassuntivo'!$B$13-N26)*Q26</f>
        <v>180575.71501431242</v>
      </c>
      <c r="P26" s="46">
        <f>K26/(1+SUM('FNC-ORD_prospetto riassuntivo'!$B$30:$B$31)/'FNC-ORD_prospetto riassuntivo'!$B$25)^J26</f>
        <v>353.82863029954791</v>
      </c>
      <c r="Q26">
        <f>IF(J26=0,0,IF(OR(J26&lt;'FNC-ORD_prospetto riassuntivo'!$B$24+'FNC-ORD_prospetto riassuntivo'!$B$27,J26='FNC-ORD_prospetto riassuntivo'!$B$24+'FNC-ORD_prospetto riassuntivo'!$B$27),1,0))</f>
        <v>1</v>
      </c>
    </row>
    <row r="27" spans="1:17" x14ac:dyDescent="0.25">
      <c r="J27" s="45">
        <f>IF(J26=0,0,IF('FNC-ORD_prospetto riassuntivo'!$B$24+'FNC-ORD_prospetto riassuntivo'!$B$27&gt;J26,J26+1,0))</f>
        <v>25</v>
      </c>
      <c r="K27" s="46">
        <f>O26*'FNC-ORD_prospetto riassuntivo'!$B$29*Q27</f>
        <v>376.19940627981754</v>
      </c>
      <c r="L27" s="46">
        <f t="shared" si="1"/>
        <v>2327.2037723729381</v>
      </c>
      <c r="M27" s="46">
        <f t="shared" si="2"/>
        <v>2703.4031786527557</v>
      </c>
      <c r="N27" s="47">
        <f t="shared" si="3"/>
        <v>56751.488758060506</v>
      </c>
      <c r="O27" s="46">
        <f>('FNC-ORD_prospetto riassuntivo'!$B$13-N27)*Q27</f>
        <v>178248.5112419395</v>
      </c>
      <c r="P27" s="46">
        <f>K27/(1+SUM('FNC-ORD_prospetto riassuntivo'!$B$30:$B$31)/'FNC-ORD_prospetto riassuntivo'!$B$25)^J27</f>
        <v>348.25915689383072</v>
      </c>
      <c r="Q27">
        <f>IF(J27=0,0,IF(OR(J27&lt;'FNC-ORD_prospetto riassuntivo'!$B$24+'FNC-ORD_prospetto riassuntivo'!$B$27,J27='FNC-ORD_prospetto riassuntivo'!$B$24+'FNC-ORD_prospetto riassuntivo'!$B$27),1,0))</f>
        <v>1</v>
      </c>
    </row>
    <row r="28" spans="1:17" x14ac:dyDescent="0.25">
      <c r="J28" s="45">
        <f>IF(J27=0,0,IF('FNC-ORD_prospetto riassuntivo'!$B$24+'FNC-ORD_prospetto riassuntivo'!$B$27&gt;J27,J27+1,0))</f>
        <v>26</v>
      </c>
      <c r="K28" s="46">
        <f>O27*'FNC-ORD_prospetto riassuntivo'!$B$29*Q28</f>
        <v>371.35106508737397</v>
      </c>
      <c r="L28" s="46">
        <f t="shared" si="1"/>
        <v>2332.0521135653817</v>
      </c>
      <c r="M28" s="46">
        <f t="shared" si="2"/>
        <v>2703.4031786527557</v>
      </c>
      <c r="N28" s="47">
        <f t="shared" si="3"/>
        <v>59083.54087162589</v>
      </c>
      <c r="O28" s="46">
        <f>('FNC-ORD_prospetto riassuntivo'!$B$13-N28)*Q28</f>
        <v>175916.45912837412</v>
      </c>
      <c r="P28" s="46">
        <f>K28/(1+SUM('FNC-ORD_prospetto riassuntivo'!$B$30:$B$31)/'FNC-ORD_prospetto riassuntivo'!$B$25)^J28</f>
        <v>342.71135170170908</v>
      </c>
      <c r="Q28">
        <f>IF(J28=0,0,IF(OR(J28&lt;'FNC-ORD_prospetto riassuntivo'!$B$24+'FNC-ORD_prospetto riassuntivo'!$B$27,J28='FNC-ORD_prospetto riassuntivo'!$B$24+'FNC-ORD_prospetto riassuntivo'!$B$27),1,0))</f>
        <v>1</v>
      </c>
    </row>
    <row r="29" spans="1:17" x14ac:dyDescent="0.25">
      <c r="J29" s="45">
        <f>IF(J28=0,0,IF('FNC-ORD_prospetto riassuntivo'!$B$24+'FNC-ORD_prospetto riassuntivo'!$B$27&gt;J28,J28+1,0))</f>
        <v>27</v>
      </c>
      <c r="K29" s="46">
        <f>O28*'FNC-ORD_prospetto riassuntivo'!$B$29*Q29</f>
        <v>366.49262318411274</v>
      </c>
      <c r="L29" s="46">
        <f t="shared" si="1"/>
        <v>2336.910555468643</v>
      </c>
      <c r="M29" s="46">
        <f t="shared" si="2"/>
        <v>2703.4031786527557</v>
      </c>
      <c r="N29" s="47">
        <f t="shared" si="3"/>
        <v>61420.451427094536</v>
      </c>
      <c r="O29" s="46">
        <f>('FNC-ORD_prospetto riassuntivo'!$B$13-N29)*Q29</f>
        <v>173579.54857290548</v>
      </c>
      <c r="P29" s="46">
        <f>K29/(1+SUM('FNC-ORD_prospetto riassuntivo'!$B$30:$B$31)/'FNC-ORD_prospetto riassuntivo'!$B$25)^J29</f>
        <v>337.18514341290808</v>
      </c>
      <c r="Q29">
        <f>IF(J29=0,0,IF(OR(J29&lt;'FNC-ORD_prospetto riassuntivo'!$B$24+'FNC-ORD_prospetto riassuntivo'!$B$27,J29='FNC-ORD_prospetto riassuntivo'!$B$24+'FNC-ORD_prospetto riassuntivo'!$B$27),1,0))</f>
        <v>1</v>
      </c>
    </row>
    <row r="30" spans="1:17" x14ac:dyDescent="0.25">
      <c r="J30" s="45">
        <f>IF(J29=0,0,IF('FNC-ORD_prospetto riassuntivo'!$B$24+'FNC-ORD_prospetto riassuntivo'!$B$27&gt;J29,J29+1,0))</f>
        <v>28</v>
      </c>
      <c r="K30" s="46">
        <f>O29*'FNC-ORD_prospetto riassuntivo'!$B$29*Q30</f>
        <v>361.62405952688641</v>
      </c>
      <c r="L30" s="46">
        <f t="shared" si="1"/>
        <v>2341.7791191258693</v>
      </c>
      <c r="M30" s="46">
        <f t="shared" si="2"/>
        <v>2703.4031786527557</v>
      </c>
      <c r="N30" s="47">
        <f t="shared" si="3"/>
        <v>63762.230546220409</v>
      </c>
      <c r="O30" s="46">
        <f>('FNC-ORD_prospetto riassuntivo'!$B$13-N30)*Q30</f>
        <v>171237.76945377959</v>
      </c>
      <c r="P30" s="46">
        <f>K30/(1+SUM('FNC-ORD_prospetto riassuntivo'!$B$30:$B$31)/'FNC-ORD_prospetto riassuntivo'!$B$25)^J30</f>
        <v>331.68046094149031</v>
      </c>
      <c r="Q30">
        <f>IF(J30=0,0,IF(OR(J30&lt;'FNC-ORD_prospetto riassuntivo'!$B$24+'FNC-ORD_prospetto riassuntivo'!$B$27,J30='FNC-ORD_prospetto riassuntivo'!$B$24+'FNC-ORD_prospetto riassuntivo'!$B$27),1,0))</f>
        <v>1</v>
      </c>
    </row>
    <row r="31" spans="1:17" x14ac:dyDescent="0.25">
      <c r="J31" s="45">
        <f>IF(J30=0,0,IF('FNC-ORD_prospetto riassuntivo'!$B$24+'FNC-ORD_prospetto riassuntivo'!$B$27&gt;J30,J30+1,0))</f>
        <v>29</v>
      </c>
      <c r="K31" s="46">
        <f>O30*'FNC-ORD_prospetto riassuntivo'!$B$29*Q31</f>
        <v>356.74535302870748</v>
      </c>
      <c r="L31" s="46">
        <f t="shared" si="1"/>
        <v>2346.6578256240482</v>
      </c>
      <c r="M31" s="46">
        <f t="shared" si="2"/>
        <v>2703.4031786527557</v>
      </c>
      <c r="N31" s="47">
        <f t="shared" si="3"/>
        <v>66108.888371844456</v>
      </c>
      <c r="O31" s="46">
        <f>('FNC-ORD_prospetto riassuntivo'!$B$13-N31)*Q31</f>
        <v>168891.11162815554</v>
      </c>
      <c r="P31" s="46">
        <f>K31/(1+SUM('FNC-ORD_prospetto riassuntivo'!$B$30:$B$31)/'FNC-ORD_prospetto riassuntivo'!$B$25)^J31</f>
        <v>326.19723342515977</v>
      </c>
      <c r="Q31">
        <f>IF(J31=0,0,IF(OR(J31&lt;'FNC-ORD_prospetto riassuntivo'!$B$24+'FNC-ORD_prospetto riassuntivo'!$B$27,J31='FNC-ORD_prospetto riassuntivo'!$B$24+'FNC-ORD_prospetto riassuntivo'!$B$27),1,0))</f>
        <v>1</v>
      </c>
    </row>
    <row r="32" spans="1:17" x14ac:dyDescent="0.25">
      <c r="J32" s="45">
        <f>IF(J31=0,0,IF('FNC-ORD_prospetto riassuntivo'!$B$24+'FNC-ORD_prospetto riassuntivo'!$B$27&gt;J31,J31+1,0))</f>
        <v>30</v>
      </c>
      <c r="K32" s="46">
        <f>O31*'FNC-ORD_prospetto riassuntivo'!$B$29*Q32</f>
        <v>351.85648255865738</v>
      </c>
      <c r="L32" s="46">
        <f t="shared" si="1"/>
        <v>2351.5466960940985</v>
      </c>
      <c r="M32" s="46">
        <f t="shared" si="2"/>
        <v>2703.4031786527557</v>
      </c>
      <c r="N32" s="47">
        <f t="shared" si="3"/>
        <v>68460.435067938553</v>
      </c>
      <c r="O32" s="46">
        <f>('FNC-ORD_prospetto riassuntivo'!$B$13-N32)*Q32</f>
        <v>166539.56493206145</v>
      </c>
      <c r="P32" s="46">
        <f>K32/(1+SUM('FNC-ORD_prospetto riassuntivo'!$B$30:$B$31)/'FNC-ORD_prospetto riassuntivo'!$B$25)^J32</f>
        <v>320.73539022456868</v>
      </c>
      <c r="Q32">
        <f>IF(J32=0,0,IF(OR(J32&lt;'FNC-ORD_prospetto riassuntivo'!$B$24+'FNC-ORD_prospetto riassuntivo'!$B$27,J32='FNC-ORD_prospetto riassuntivo'!$B$24+'FNC-ORD_prospetto riassuntivo'!$B$27),1,0))</f>
        <v>1</v>
      </c>
    </row>
    <row r="33" spans="10:17" x14ac:dyDescent="0.25">
      <c r="J33" s="45">
        <f>IF(J32=0,0,IF('FNC-ORD_prospetto riassuntivo'!$B$24+'FNC-ORD_prospetto riassuntivo'!$B$27&gt;J32,J32+1,0))</f>
        <v>31</v>
      </c>
      <c r="K33" s="46">
        <f>O32*'FNC-ORD_prospetto riassuntivo'!$B$29*Q33</f>
        <v>346.95742694179467</v>
      </c>
      <c r="L33" s="46">
        <f t="shared" si="1"/>
        <v>2356.4457517109613</v>
      </c>
      <c r="M33" s="46">
        <f t="shared" si="2"/>
        <v>2703.4031786527557</v>
      </c>
      <c r="N33" s="47">
        <f t="shared" si="3"/>
        <v>70816.880819649508</v>
      </c>
      <c r="O33" s="46">
        <f>('FNC-ORD_prospetto riassuntivo'!$B$13-N33)*Q33</f>
        <v>164183.11918035051</v>
      </c>
      <c r="P33" s="46">
        <f>K33/(1+SUM('FNC-ORD_prospetto riassuntivo'!$B$30:$B$31)/'FNC-ORD_prospetto riassuntivo'!$B$25)^J33</f>
        <v>315.29486092262448</v>
      </c>
      <c r="Q33">
        <f>IF(J33=0,0,IF(OR(J33&lt;'FNC-ORD_prospetto riassuntivo'!$B$24+'FNC-ORD_prospetto riassuntivo'!$B$27,J33='FNC-ORD_prospetto riassuntivo'!$B$24+'FNC-ORD_prospetto riassuntivo'!$B$27),1,0))</f>
        <v>1</v>
      </c>
    </row>
    <row r="34" spans="10:17" x14ac:dyDescent="0.25">
      <c r="J34" s="45">
        <f>IF(J33=0,0,IF('FNC-ORD_prospetto riassuntivo'!$B$24+'FNC-ORD_prospetto riassuntivo'!$B$27&gt;J33,J33+1,0))</f>
        <v>32</v>
      </c>
      <c r="K34" s="46">
        <f>O33*'FNC-ORD_prospetto riassuntivo'!$B$29*Q34</f>
        <v>342.04816495906357</v>
      </c>
      <c r="L34" s="46">
        <f t="shared" si="1"/>
        <v>2361.3550136936919</v>
      </c>
      <c r="M34" s="46">
        <f t="shared" si="2"/>
        <v>2703.4031786527557</v>
      </c>
      <c r="N34" s="47">
        <f t="shared" si="3"/>
        <v>73178.235833343206</v>
      </c>
      <c r="O34" s="46">
        <f>('FNC-ORD_prospetto riassuntivo'!$B$13-N34)*Q34</f>
        <v>161821.76416665679</v>
      </c>
      <c r="P34" s="46">
        <f>K34/(1+SUM('FNC-ORD_prospetto riassuntivo'!$B$30:$B$31)/'FNC-ORD_prospetto riassuntivo'!$B$25)^J34</f>
        <v>309.87557532380185</v>
      </c>
      <c r="Q34">
        <f>IF(J34=0,0,IF(OR(J34&lt;'FNC-ORD_prospetto riassuntivo'!$B$24+'FNC-ORD_prospetto riassuntivo'!$B$27,J34='FNC-ORD_prospetto riassuntivo'!$B$24+'FNC-ORD_prospetto riassuntivo'!$B$27),1,0))</f>
        <v>1</v>
      </c>
    </row>
    <row r="35" spans="10:17" x14ac:dyDescent="0.25">
      <c r="J35" s="45">
        <f>IF(J34=0,0,IF('FNC-ORD_prospetto riassuntivo'!$B$24+'FNC-ORD_prospetto riassuntivo'!$B$27&gt;J34,J34+1,0))</f>
        <v>33</v>
      </c>
      <c r="K35" s="46">
        <f>O34*'FNC-ORD_prospetto riassuntivo'!$B$29*Q35</f>
        <v>337.12867534720164</v>
      </c>
      <c r="L35" s="46">
        <f t="shared" ref="L35:L66" si="4">M35-K35</f>
        <v>2366.2745033055539</v>
      </c>
      <c r="M35" s="46">
        <f t="shared" si="2"/>
        <v>2703.4031786527557</v>
      </c>
      <c r="N35" s="47">
        <f t="shared" si="3"/>
        <v>75544.51033664876</v>
      </c>
      <c r="O35" s="46">
        <f>('FNC-ORD_prospetto riassuntivo'!$B$13-N35)*Q35</f>
        <v>159455.48966335124</v>
      </c>
      <c r="P35" s="46">
        <f>K35/(1+SUM('FNC-ORD_prospetto riassuntivo'!$B$30:$B$31)/'FNC-ORD_prospetto riassuntivo'!$B$25)^J35</f>
        <v>304.47746345345377</v>
      </c>
      <c r="Q35">
        <f>IF(J35=0,0,IF(OR(J35&lt;'FNC-ORD_prospetto riassuntivo'!$B$24+'FNC-ORD_prospetto riassuntivo'!$B$27,J35='FNC-ORD_prospetto riassuntivo'!$B$24+'FNC-ORD_prospetto riassuntivo'!$B$27),1,0))</f>
        <v>1</v>
      </c>
    </row>
    <row r="36" spans="10:17" x14ac:dyDescent="0.25">
      <c r="J36" s="45">
        <f>IF(J35=0,0,IF('FNC-ORD_prospetto riassuntivo'!$B$24+'FNC-ORD_prospetto riassuntivo'!$B$27&gt;J35,J35+1,0))</f>
        <v>34</v>
      </c>
      <c r="K36" s="46">
        <f>O35*'FNC-ORD_prospetto riassuntivo'!$B$29*Q36</f>
        <v>332.19893679864839</v>
      </c>
      <c r="L36" s="46">
        <f t="shared" si="4"/>
        <v>2371.2042418541073</v>
      </c>
      <c r="M36" s="46">
        <f t="shared" ref="M36:M67" si="5">$M$3*Q36</f>
        <v>2703.4031786527557</v>
      </c>
      <c r="N36" s="47">
        <f t="shared" ref="N36:N67" si="6">(L36+N35)*Q36</f>
        <v>77915.71457850287</v>
      </c>
      <c r="O36" s="46">
        <f>('FNC-ORD_prospetto riassuntivo'!$B$13-N36)*Q36</f>
        <v>157084.28542149713</v>
      </c>
      <c r="P36" s="46">
        <f>K36/(1+SUM('FNC-ORD_prospetto riassuntivo'!$B$30:$B$31)/'FNC-ORD_prospetto riassuntivo'!$B$25)^J36</f>
        <v>299.10045555712736</v>
      </c>
      <c r="Q36">
        <f>IF(J36=0,0,IF(OR(J36&lt;'FNC-ORD_prospetto riassuntivo'!$B$24+'FNC-ORD_prospetto riassuntivo'!$B$27,J36='FNC-ORD_prospetto riassuntivo'!$B$24+'FNC-ORD_prospetto riassuntivo'!$B$27),1,0))</f>
        <v>1</v>
      </c>
    </row>
    <row r="37" spans="10:17" x14ac:dyDescent="0.25">
      <c r="J37" s="45">
        <f>IF(J36=0,0,IF('FNC-ORD_prospetto riassuntivo'!$B$24+'FNC-ORD_prospetto riassuntivo'!$B$27&gt;J36,J36+1,0))</f>
        <v>35</v>
      </c>
      <c r="K37" s="46">
        <f>O36*'FNC-ORD_prospetto riassuntivo'!$B$29*Q37</f>
        <v>327.25892796145234</v>
      </c>
      <c r="L37" s="46">
        <f t="shared" si="4"/>
        <v>2376.1442506913036</v>
      </c>
      <c r="M37" s="46">
        <f t="shared" si="5"/>
        <v>2703.4031786527557</v>
      </c>
      <c r="N37" s="47">
        <f t="shared" si="6"/>
        <v>80291.858829194171</v>
      </c>
      <c r="O37" s="46">
        <f>('FNC-ORD_prospetto riassuntivo'!$B$13-N37)*Q37</f>
        <v>154708.14117080584</v>
      </c>
      <c r="P37" s="46">
        <f>K37/(1+SUM('FNC-ORD_prospetto riassuntivo'!$B$30:$B$31)/'FNC-ORD_prospetto riassuntivo'!$B$25)^J37</f>
        <v>293.74448209987975</v>
      </c>
      <c r="Q37">
        <f>IF(J37=0,0,IF(OR(J37&lt;'FNC-ORD_prospetto riassuntivo'!$B$24+'FNC-ORD_prospetto riassuntivo'!$B$27,J37='FNC-ORD_prospetto riassuntivo'!$B$24+'FNC-ORD_prospetto riassuntivo'!$B$27),1,0))</f>
        <v>1</v>
      </c>
    </row>
    <row r="38" spans="10:17" x14ac:dyDescent="0.25">
      <c r="J38" s="45">
        <f>IF(J37=0,0,IF('FNC-ORD_prospetto riassuntivo'!$B$24+'FNC-ORD_prospetto riassuntivo'!$B$27&gt;J37,J37+1,0))</f>
        <v>36</v>
      </c>
      <c r="K38" s="46">
        <f>O37*'FNC-ORD_prospetto riassuntivo'!$B$29*Q38</f>
        <v>322.30862743917885</v>
      </c>
      <c r="L38" s="46">
        <f t="shared" si="4"/>
        <v>2381.0945512135768</v>
      </c>
      <c r="M38" s="46">
        <f t="shared" si="5"/>
        <v>2703.4031786527557</v>
      </c>
      <c r="N38" s="47">
        <f t="shared" si="6"/>
        <v>82672.953380407751</v>
      </c>
      <c r="O38" s="46">
        <f>('FNC-ORD_prospetto riassuntivo'!$B$13-N38)*Q38</f>
        <v>152327.04661959223</v>
      </c>
      <c r="P38" s="46">
        <f>K38/(1+SUM('FNC-ORD_prospetto riassuntivo'!$B$30:$B$31)/'FNC-ORD_prospetto riassuntivo'!$B$25)^J38</f>
        <v>288.40947376559774</v>
      </c>
      <c r="Q38">
        <f>IF(J38=0,0,IF(OR(J38&lt;'FNC-ORD_prospetto riassuntivo'!$B$24+'FNC-ORD_prospetto riassuntivo'!$B$27,J38='FNC-ORD_prospetto riassuntivo'!$B$24+'FNC-ORD_prospetto riassuntivo'!$B$27),1,0))</f>
        <v>1</v>
      </c>
    </row>
    <row r="39" spans="10:17" x14ac:dyDescent="0.25">
      <c r="J39" s="45">
        <f>IF(J38=0,0,IF('FNC-ORD_prospetto riassuntivo'!$B$24+'FNC-ORD_prospetto riassuntivo'!$B$27&gt;J38,J38+1,0))</f>
        <v>37</v>
      </c>
      <c r="K39" s="46">
        <f>O38*'FNC-ORD_prospetto riassuntivo'!$B$29*Q39</f>
        <v>317.34801379081716</v>
      </c>
      <c r="L39" s="46">
        <f t="shared" si="4"/>
        <v>2386.0551648619385</v>
      </c>
      <c r="M39" s="46">
        <f t="shared" si="5"/>
        <v>2703.4031786527557</v>
      </c>
      <c r="N39" s="47">
        <f t="shared" si="6"/>
        <v>85059.008545269695</v>
      </c>
      <c r="O39" s="46">
        <f>('FNC-ORD_prospetto riassuntivo'!$B$13-N39)*Q39</f>
        <v>149940.99145473031</v>
      </c>
      <c r="P39" s="46">
        <f>K39/(1+SUM('FNC-ORD_prospetto riassuntivo'!$B$30:$B$31)/'FNC-ORD_prospetto riassuntivo'!$B$25)^J39</f>
        <v>283.09536145631802</v>
      </c>
      <c r="Q39">
        <f>IF(J39=0,0,IF(OR(J39&lt;'FNC-ORD_prospetto riassuntivo'!$B$24+'FNC-ORD_prospetto riassuntivo'!$B$27,J39='FNC-ORD_prospetto riassuntivo'!$B$24+'FNC-ORD_prospetto riassuntivo'!$B$27),1,0))</f>
        <v>1</v>
      </c>
    </row>
    <row r="40" spans="10:17" x14ac:dyDescent="0.25">
      <c r="J40" s="45">
        <f>IF(J39=0,0,IF('FNC-ORD_prospetto riassuntivo'!$B$24+'FNC-ORD_prospetto riassuntivo'!$B$27&gt;J39,J39+1,0))</f>
        <v>38</v>
      </c>
      <c r="K40" s="46">
        <f>O39*'FNC-ORD_prospetto riassuntivo'!$B$29*Q40</f>
        <v>312.37706553068813</v>
      </c>
      <c r="L40" s="46">
        <f t="shared" si="4"/>
        <v>2391.0261131220677</v>
      </c>
      <c r="M40" s="46">
        <f t="shared" si="5"/>
        <v>2703.4031786527557</v>
      </c>
      <c r="N40" s="47">
        <f t="shared" si="6"/>
        <v>87450.034658391756</v>
      </c>
      <c r="O40" s="46">
        <f>('FNC-ORD_prospetto riassuntivo'!$B$13-N40)*Q40</f>
        <v>147549.96534160824</v>
      </c>
      <c r="P40" s="46">
        <f>K40/(1+SUM('FNC-ORD_prospetto riassuntivo'!$B$30:$B$31)/'FNC-ORD_prospetto riassuntivo'!$B$25)^J40</f>
        <v>277.80207629155126</v>
      </c>
      <c r="Q40">
        <f>IF(J40=0,0,IF(OR(J40&lt;'FNC-ORD_prospetto riassuntivo'!$B$24+'FNC-ORD_prospetto riassuntivo'!$B$27,J40='FNC-ORD_prospetto riassuntivo'!$B$24+'FNC-ORD_prospetto riassuntivo'!$B$27),1,0))</f>
        <v>1</v>
      </c>
    </row>
    <row r="41" spans="10:17" x14ac:dyDescent="0.25">
      <c r="J41" s="45">
        <f>IF(J40=0,0,IF('FNC-ORD_prospetto riassuntivo'!$B$24+'FNC-ORD_prospetto riassuntivo'!$B$27&gt;J40,J40+1,0))</f>
        <v>39</v>
      </c>
      <c r="K41" s="46">
        <f>O40*'FNC-ORD_prospetto riassuntivo'!$B$29*Q41</f>
        <v>307.3957611283505</v>
      </c>
      <c r="L41" s="46">
        <f t="shared" si="4"/>
        <v>2396.0074175244054</v>
      </c>
      <c r="M41" s="46">
        <f t="shared" si="5"/>
        <v>2703.4031786527557</v>
      </c>
      <c r="N41" s="47">
        <f t="shared" si="6"/>
        <v>89846.042075916164</v>
      </c>
      <c r="O41" s="46">
        <f>('FNC-ORD_prospetto riassuntivo'!$B$13-N41)*Q41</f>
        <v>145153.95792408384</v>
      </c>
      <c r="P41" s="46">
        <f>K41/(1+SUM('FNC-ORD_prospetto riassuntivo'!$B$30:$B$31)/'FNC-ORD_prospetto riassuntivo'!$B$25)^J41</f>
        <v>272.52954960760621</v>
      </c>
      <c r="Q41">
        <f>IF(J41=0,0,IF(OR(J41&lt;'FNC-ORD_prospetto riassuntivo'!$B$24+'FNC-ORD_prospetto riassuntivo'!$B$27,J41='FNC-ORD_prospetto riassuntivo'!$B$24+'FNC-ORD_prospetto riassuntivo'!$B$27),1,0))</f>
        <v>1</v>
      </c>
    </row>
    <row r="42" spans="10:17" x14ac:dyDescent="0.25">
      <c r="J42" s="45">
        <f>IF(J41=0,0,IF('FNC-ORD_prospetto riassuntivo'!$B$24+'FNC-ORD_prospetto riassuntivo'!$B$27&gt;J41,J41+1,0))</f>
        <v>40</v>
      </c>
      <c r="K42" s="46">
        <f>O41*'FNC-ORD_prospetto riassuntivo'!$B$29*Q42</f>
        <v>302.40407900850801</v>
      </c>
      <c r="L42" s="46">
        <f t="shared" si="4"/>
        <v>2400.9990996442475</v>
      </c>
      <c r="M42" s="46">
        <f t="shared" si="5"/>
        <v>2703.4031786527557</v>
      </c>
      <c r="N42" s="47">
        <f t="shared" si="6"/>
        <v>92247.041175560415</v>
      </c>
      <c r="O42" s="46">
        <f>('FNC-ORD_prospetto riassuntivo'!$B$13-N42)*Q42</f>
        <v>142752.95882443959</v>
      </c>
      <c r="P42" s="46">
        <f>K42/(1+SUM('FNC-ORD_prospetto riassuntivo'!$B$30:$B$31)/'FNC-ORD_prospetto riassuntivo'!$B$25)^J42</f>
        <v>267.27771295691787</v>
      </c>
      <c r="Q42">
        <f>IF(J42=0,0,IF(OR(J42&lt;'FNC-ORD_prospetto riassuntivo'!$B$24+'FNC-ORD_prospetto riassuntivo'!$B$27,J42='FNC-ORD_prospetto riassuntivo'!$B$24+'FNC-ORD_prospetto riassuntivo'!$B$27),1,0))</f>
        <v>1</v>
      </c>
    </row>
    <row r="43" spans="10:17" x14ac:dyDescent="0.25">
      <c r="J43" s="45">
        <f>IF(J42=0,0,IF('FNC-ORD_prospetto riassuntivo'!$B$24+'FNC-ORD_prospetto riassuntivo'!$B$27&gt;J42,J42+1,0))</f>
        <v>41</v>
      </c>
      <c r="K43" s="46">
        <f>O42*'FNC-ORD_prospetto riassuntivo'!$B$29*Q43</f>
        <v>297.40199755091578</v>
      </c>
      <c r="L43" s="46">
        <f t="shared" si="4"/>
        <v>2406.0011811018398</v>
      </c>
      <c r="M43" s="46">
        <f t="shared" si="5"/>
        <v>2703.4031786527557</v>
      </c>
      <c r="N43" s="47">
        <f t="shared" si="6"/>
        <v>94653.042356662248</v>
      </c>
      <c r="O43" s="46">
        <f>('FNC-ORD_prospetto riassuntivo'!$B$13-N43)*Q43</f>
        <v>140346.95764333775</v>
      </c>
      <c r="P43" s="46">
        <f>K43/(1+SUM('FNC-ORD_prospetto riassuntivo'!$B$30:$B$31)/'FNC-ORD_prospetto riassuntivo'!$B$25)^J43</f>
        <v>262.04649810737629</v>
      </c>
      <c r="Q43">
        <f>IF(J43=0,0,IF(OR(J43&lt;'FNC-ORD_prospetto riassuntivo'!$B$24+'FNC-ORD_prospetto riassuntivo'!$B$27,J43='FNC-ORD_prospetto riassuntivo'!$B$24+'FNC-ORD_prospetto riassuntivo'!$B$27),1,0))</f>
        <v>1</v>
      </c>
    </row>
    <row r="44" spans="10:17" x14ac:dyDescent="0.25">
      <c r="J44" s="45">
        <f>IF(J43=0,0,IF('FNC-ORD_prospetto riassuntivo'!$B$24+'FNC-ORD_prospetto riassuntivo'!$B$27&gt;J43,J43+1,0))</f>
        <v>42</v>
      </c>
      <c r="K44" s="46">
        <f>O43*'FNC-ORD_prospetto riassuntivo'!$B$29*Q44</f>
        <v>292.38949509028697</v>
      </c>
      <c r="L44" s="46">
        <f t="shared" si="4"/>
        <v>2411.0136835624689</v>
      </c>
      <c r="M44" s="46">
        <f t="shared" si="5"/>
        <v>2703.4031786527557</v>
      </c>
      <c r="N44" s="47">
        <f t="shared" si="6"/>
        <v>97064.056040224721</v>
      </c>
      <c r="O44" s="46">
        <f>('FNC-ORD_prospetto riassuntivo'!$B$13-N44)*Q44</f>
        <v>137935.94395977526</v>
      </c>
      <c r="P44" s="46">
        <f>K44/(1+SUM('FNC-ORD_prospetto riassuntivo'!$B$30:$B$31)/'FNC-ORD_prospetto riassuntivo'!$B$25)^J44</f>
        <v>256.83583704165824</v>
      </c>
      <c r="Q44">
        <f>IF(J44=0,0,IF(OR(J44&lt;'FNC-ORD_prospetto riassuntivo'!$B$24+'FNC-ORD_prospetto riassuntivo'!$B$27,J44='FNC-ORD_prospetto riassuntivo'!$B$24+'FNC-ORD_prospetto riassuntivo'!$B$27),1,0))</f>
        <v>1</v>
      </c>
    </row>
    <row r="45" spans="10:17" x14ac:dyDescent="0.25">
      <c r="J45" s="45">
        <f>IF(J44=0,0,IF('FNC-ORD_prospetto riassuntivo'!$B$24+'FNC-ORD_prospetto riassuntivo'!$B$27&gt;J44,J44+1,0))</f>
        <v>43</v>
      </c>
      <c r="K45" s="46">
        <f>O44*'FNC-ORD_prospetto riassuntivo'!$B$29*Q45</f>
        <v>287.36654991619844</v>
      </c>
      <c r="L45" s="46">
        <f t="shared" si="4"/>
        <v>2416.0366287365573</v>
      </c>
      <c r="M45" s="46">
        <f t="shared" si="5"/>
        <v>2703.4031786527557</v>
      </c>
      <c r="N45" s="47">
        <f t="shared" si="6"/>
        <v>99480.092668961282</v>
      </c>
      <c r="O45" s="46">
        <f>('FNC-ORD_prospetto riassuntivo'!$B$13-N45)*Q45</f>
        <v>135519.90733103873</v>
      </c>
      <c r="P45" s="46">
        <f>K45/(1+SUM('FNC-ORD_prospetto riassuntivo'!$B$30:$B$31)/'FNC-ORD_prospetto riassuntivo'!$B$25)^J45</f>
        <v>251.6456619565605</v>
      </c>
      <c r="Q45">
        <f>IF(J45=0,0,IF(OR(J45&lt;'FNC-ORD_prospetto riassuntivo'!$B$24+'FNC-ORD_prospetto riassuntivo'!$B$27,J45='FNC-ORD_prospetto riassuntivo'!$B$24+'FNC-ORD_prospetto riassuntivo'!$B$27),1,0))</f>
        <v>1</v>
      </c>
    </row>
    <row r="46" spans="10:17" x14ac:dyDescent="0.25">
      <c r="J46" s="45">
        <f>IF(J45=0,0,IF('FNC-ORD_prospetto riassuntivo'!$B$24+'FNC-ORD_prospetto riassuntivo'!$B$27&gt;J45,J45+1,0))</f>
        <v>44</v>
      </c>
      <c r="K46" s="46">
        <f>O45*'FNC-ORD_prospetto riassuntivo'!$B$29*Q46</f>
        <v>282.33314027299735</v>
      </c>
      <c r="L46" s="46">
        <f t="shared" si="4"/>
        <v>2421.0700383797584</v>
      </c>
      <c r="M46" s="46">
        <f t="shared" si="5"/>
        <v>2703.4031786527557</v>
      </c>
      <c r="N46" s="47">
        <f t="shared" si="6"/>
        <v>101901.16270734103</v>
      </c>
      <c r="O46" s="46">
        <f>('FNC-ORD_prospetto riassuntivo'!$B$13-N46)*Q46</f>
        <v>133098.83729265898</v>
      </c>
      <c r="P46" s="46">
        <f>K46/(1+SUM('FNC-ORD_prospetto riassuntivo'!$B$30:$B$31)/'FNC-ORD_prospetto riassuntivo'!$B$25)^J46</f>
        <v>246.47590526233591</v>
      </c>
      <c r="Q46">
        <f>IF(J46=0,0,IF(OR(J46&lt;'FNC-ORD_prospetto riassuntivo'!$B$24+'FNC-ORD_prospetto riassuntivo'!$B$27,J46='FNC-ORD_prospetto riassuntivo'!$B$24+'FNC-ORD_prospetto riassuntivo'!$B$27),1,0))</f>
        <v>1</v>
      </c>
    </row>
    <row r="47" spans="10:17" x14ac:dyDescent="0.25">
      <c r="J47" s="45">
        <f>IF(J46=0,0,IF('FNC-ORD_prospetto riassuntivo'!$B$24+'FNC-ORD_prospetto riassuntivo'!$B$27&gt;J46,J46+1,0))</f>
        <v>45</v>
      </c>
      <c r="K47" s="46">
        <f>O46*'FNC-ORD_prospetto riassuntivo'!$B$29*Q47</f>
        <v>277.28924435970623</v>
      </c>
      <c r="L47" s="46">
        <f t="shared" si="4"/>
        <v>2426.1139342930496</v>
      </c>
      <c r="M47" s="46">
        <f t="shared" si="5"/>
        <v>2703.4031786527557</v>
      </c>
      <c r="N47" s="47">
        <f t="shared" si="6"/>
        <v>104327.27664163409</v>
      </c>
      <c r="O47" s="46">
        <f>('FNC-ORD_prospetto riassuntivo'!$B$13-N47)*Q47</f>
        <v>130672.72335836591</v>
      </c>
      <c r="P47" s="46">
        <f>K47/(1+SUM('FNC-ORD_prospetto riassuntivo'!$B$30:$B$31)/'FNC-ORD_prospetto riassuntivo'!$B$25)^J47</f>
        <v>241.32649958203007</v>
      </c>
      <c r="Q47">
        <f>IF(J47=0,0,IF(OR(J47&lt;'FNC-ORD_prospetto riassuntivo'!$B$24+'FNC-ORD_prospetto riassuntivo'!$B$27,J47='FNC-ORD_prospetto riassuntivo'!$B$24+'FNC-ORD_prospetto riassuntivo'!$B$27),1,0))</f>
        <v>1</v>
      </c>
    </row>
    <row r="48" spans="10:17" x14ac:dyDescent="0.25">
      <c r="J48" s="45">
        <f>IF(J47=0,0,IF('FNC-ORD_prospetto riassuntivo'!$B$24+'FNC-ORD_prospetto riassuntivo'!$B$27&gt;J47,J47+1,0))</f>
        <v>46</v>
      </c>
      <c r="K48" s="46">
        <f>O47*'FNC-ORD_prospetto riassuntivo'!$B$29*Q48</f>
        <v>272.234840329929</v>
      </c>
      <c r="L48" s="46">
        <f t="shared" si="4"/>
        <v>2431.1683383228269</v>
      </c>
      <c r="M48" s="46">
        <f t="shared" si="5"/>
        <v>2703.4031786527557</v>
      </c>
      <c r="N48" s="47">
        <f t="shared" si="6"/>
        <v>106758.44497995691</v>
      </c>
      <c r="O48" s="46">
        <f>('FNC-ORD_prospetto riassuntivo'!$B$13-N48)*Q48</f>
        <v>128241.55502004309</v>
      </c>
      <c r="P48" s="46">
        <f>K48/(1+SUM('FNC-ORD_prospetto riassuntivo'!$B$30:$B$31)/'FNC-ORD_prospetto riassuntivo'!$B$25)^J48</f>
        <v>236.19737775082197</v>
      </c>
      <c r="Q48">
        <f>IF(J48=0,0,IF(OR(J48&lt;'FNC-ORD_prospetto riassuntivo'!$B$24+'FNC-ORD_prospetto riassuntivo'!$B$27,J48='FNC-ORD_prospetto riassuntivo'!$B$24+'FNC-ORD_prospetto riassuntivo'!$B$27),1,0))</f>
        <v>1</v>
      </c>
    </row>
    <row r="49" spans="10:17" x14ac:dyDescent="0.25">
      <c r="J49" s="45">
        <f>IF(J48=0,0,IF('FNC-ORD_prospetto riassuntivo'!$B$24+'FNC-ORD_prospetto riassuntivo'!$B$27&gt;J48,J48+1,0))</f>
        <v>47</v>
      </c>
      <c r="K49" s="46">
        <f>O48*'FNC-ORD_prospetto riassuntivo'!$B$29*Q49</f>
        <v>267.16990629175643</v>
      </c>
      <c r="L49" s="46">
        <f t="shared" si="4"/>
        <v>2436.2332723609993</v>
      </c>
      <c r="M49" s="46">
        <f t="shared" si="5"/>
        <v>2703.4031786527557</v>
      </c>
      <c r="N49" s="47">
        <f t="shared" si="6"/>
        <v>109194.67825231791</v>
      </c>
      <c r="O49" s="46">
        <f>('FNC-ORD_prospetto riassuntivo'!$B$13-N49)*Q49</f>
        <v>125805.32174768209</v>
      </c>
      <c r="P49" s="46">
        <f>K49/(1+SUM('FNC-ORD_prospetto riassuntivo'!$B$30:$B$31)/'FNC-ORD_prospetto riassuntivo'!$B$25)^J49</f>
        <v>231.08847281536501</v>
      </c>
      <c r="Q49">
        <f>IF(J49=0,0,IF(OR(J49&lt;'FNC-ORD_prospetto riassuntivo'!$B$24+'FNC-ORD_prospetto riassuntivo'!$B$27,J49='FNC-ORD_prospetto riassuntivo'!$B$24+'FNC-ORD_prospetto riassuntivo'!$B$27),1,0))</f>
        <v>1</v>
      </c>
    </row>
    <row r="50" spans="10:17" x14ac:dyDescent="0.25">
      <c r="J50" s="45">
        <f>IF(J49=0,0,IF('FNC-ORD_prospetto riassuntivo'!$B$24+'FNC-ORD_prospetto riassuntivo'!$B$27&gt;J49,J49+1,0))</f>
        <v>48</v>
      </c>
      <c r="K50" s="46">
        <f>O49*'FNC-ORD_prospetto riassuntivo'!$B$29*Q50</f>
        <v>262.09442030767099</v>
      </c>
      <c r="L50" s="46">
        <f t="shared" si="4"/>
        <v>2441.3087583450847</v>
      </c>
      <c r="M50" s="46">
        <f t="shared" si="5"/>
        <v>2703.4031786527557</v>
      </c>
      <c r="N50" s="47">
        <f t="shared" si="6"/>
        <v>111635.987010663</v>
      </c>
      <c r="O50" s="46">
        <f>('FNC-ORD_prospetto riassuntivo'!$B$13-N50)*Q50</f>
        <v>123364.012989337</v>
      </c>
      <c r="P50" s="46">
        <f>K50/(1+SUM('FNC-ORD_prospetto riassuntivo'!$B$30:$B$31)/'FNC-ORD_prospetto riassuntivo'!$B$25)^J50</f>
        <v>225.99971803313093</v>
      </c>
      <c r="Q50">
        <f>IF(J50=0,0,IF(OR(J50&lt;'FNC-ORD_prospetto riassuntivo'!$B$24+'FNC-ORD_prospetto riassuntivo'!$B$27,J50='FNC-ORD_prospetto riassuntivo'!$B$24+'FNC-ORD_prospetto riassuntivo'!$B$27),1,0))</f>
        <v>1</v>
      </c>
    </row>
    <row r="51" spans="10:17" x14ac:dyDescent="0.25">
      <c r="J51" s="45">
        <f>IF(J50=0,0,IF('FNC-ORD_prospetto riassuntivo'!$B$24+'FNC-ORD_prospetto riassuntivo'!$B$27&gt;J50,J50+1,0))</f>
        <v>49</v>
      </c>
      <c r="K51" s="46">
        <f>O50*'FNC-ORD_prospetto riassuntivo'!$B$29*Q51</f>
        <v>257.0083603944521</v>
      </c>
      <c r="L51" s="46">
        <f t="shared" si="4"/>
        <v>2446.3948182583035</v>
      </c>
      <c r="M51" s="46">
        <f t="shared" si="5"/>
        <v>2703.4031786527557</v>
      </c>
      <c r="N51" s="47">
        <f t="shared" si="6"/>
        <v>114082.38182892129</v>
      </c>
      <c r="O51" s="46">
        <f>('FNC-ORD_prospetto riassuntivo'!$B$13-N51)*Q51</f>
        <v>120917.61817107871</v>
      </c>
      <c r="P51" s="46">
        <f>K51/(1+SUM('FNC-ORD_prospetto riassuntivo'!$B$30:$B$31)/'FNC-ORD_prospetto riassuntivo'!$B$25)^J51</f>
        <v>220.93104687175574</v>
      </c>
      <c r="Q51">
        <f>IF(J51=0,0,IF(OR(J51&lt;'FNC-ORD_prospetto riassuntivo'!$B$24+'FNC-ORD_prospetto riassuntivo'!$B$27,J51='FNC-ORD_prospetto riassuntivo'!$B$24+'FNC-ORD_prospetto riassuntivo'!$B$27),1,0))</f>
        <v>1</v>
      </c>
    </row>
    <row r="52" spans="10:17" x14ac:dyDescent="0.25">
      <c r="J52" s="45">
        <f>IF(J51=0,0,IF('FNC-ORD_prospetto riassuntivo'!$B$24+'FNC-ORD_prospetto riassuntivo'!$B$27&gt;J51,J51+1,0))</f>
        <v>50</v>
      </c>
      <c r="K52" s="46">
        <f>O51*'FNC-ORD_prospetto riassuntivo'!$B$29*Q52</f>
        <v>251.91170452308063</v>
      </c>
      <c r="L52" s="46">
        <f t="shared" si="4"/>
        <v>2451.4914741296752</v>
      </c>
      <c r="M52" s="46">
        <f t="shared" si="5"/>
        <v>2703.4031786527557</v>
      </c>
      <c r="N52" s="47">
        <f t="shared" si="6"/>
        <v>116533.87330305098</v>
      </c>
      <c r="O52" s="46">
        <f>('FNC-ORD_prospetto riassuntivo'!$B$13-N52)*Q52</f>
        <v>118466.12669694902</v>
      </c>
      <c r="P52" s="46">
        <f>K52/(1+SUM('FNC-ORD_prospetto riassuntivo'!$B$30:$B$31)/'FNC-ORD_prospetto riassuntivo'!$B$25)^J52</f>
        <v>215.88239300838706</v>
      </c>
      <c r="Q52">
        <f>IF(J52=0,0,IF(OR(J52&lt;'FNC-ORD_prospetto riassuntivo'!$B$24+'FNC-ORD_prospetto riassuntivo'!$B$27,J52='FNC-ORD_prospetto riassuntivo'!$B$24+'FNC-ORD_prospetto riassuntivo'!$B$27),1,0))</f>
        <v>1</v>
      </c>
    </row>
    <row r="53" spans="10:17" x14ac:dyDescent="0.25">
      <c r="J53" s="45">
        <f>IF(J52=0,0,IF('FNC-ORD_prospetto riassuntivo'!$B$24+'FNC-ORD_prospetto riassuntivo'!$B$27&gt;J52,J52+1,0))</f>
        <v>51</v>
      </c>
      <c r="K53" s="46">
        <f>O52*'FNC-ORD_prospetto riassuntivo'!$B$29*Q53</f>
        <v>246.80443061864381</v>
      </c>
      <c r="L53" s="46">
        <f t="shared" si="4"/>
        <v>2456.5987480341118</v>
      </c>
      <c r="M53" s="46">
        <f t="shared" si="5"/>
        <v>2703.4031786527557</v>
      </c>
      <c r="N53" s="47">
        <f t="shared" si="6"/>
        <v>118990.47205108509</v>
      </c>
      <c r="O53" s="46">
        <f>('FNC-ORD_prospetto riassuntivo'!$B$13-N53)*Q53</f>
        <v>116009.52794891491</v>
      </c>
      <c r="P53" s="46">
        <f>K53/(1+SUM('FNC-ORD_prospetto riassuntivo'!$B$30:$B$31)/'FNC-ORD_prospetto riassuntivo'!$B$25)^J53</f>
        <v>210.85369032903432</v>
      </c>
      <c r="Q53">
        <f>IF(J53=0,0,IF(OR(J53&lt;'FNC-ORD_prospetto riassuntivo'!$B$24+'FNC-ORD_prospetto riassuntivo'!$B$27,J53='FNC-ORD_prospetto riassuntivo'!$B$24+'FNC-ORD_prospetto riassuntivo'!$B$27),1,0))</f>
        <v>1</v>
      </c>
    </row>
    <row r="54" spans="10:17" x14ac:dyDescent="0.25">
      <c r="J54" s="45">
        <f>IF(J53=0,0,IF('FNC-ORD_prospetto riassuntivo'!$B$24+'FNC-ORD_prospetto riassuntivo'!$B$27&gt;J53,J53+1,0))</f>
        <v>52</v>
      </c>
      <c r="K54" s="46">
        <f>O53*'FNC-ORD_prospetto riassuntivo'!$B$29*Q54</f>
        <v>241.6865165602394</v>
      </c>
      <c r="L54" s="46">
        <f t="shared" si="4"/>
        <v>2461.7166620925163</v>
      </c>
      <c r="M54" s="46">
        <f t="shared" si="5"/>
        <v>2703.4031786527557</v>
      </c>
      <c r="N54" s="47">
        <f t="shared" si="6"/>
        <v>121452.1887131776</v>
      </c>
      <c r="O54" s="46">
        <f>('FNC-ORD_prospetto riassuntivo'!$B$13-N54)*Q54</f>
        <v>113547.8112868224</v>
      </c>
      <c r="P54" s="46">
        <f>K54/(1+SUM('FNC-ORD_prospetto riassuntivo'!$B$30:$B$31)/'FNC-ORD_prospetto riassuntivo'!$B$25)^J54</f>
        <v>205.84487292792033</v>
      </c>
      <c r="Q54">
        <f>IF(J54=0,0,IF(OR(J54&lt;'FNC-ORD_prospetto riassuntivo'!$B$24+'FNC-ORD_prospetto riassuntivo'!$B$27,J54='FNC-ORD_prospetto riassuntivo'!$B$24+'FNC-ORD_prospetto riassuntivo'!$B$27),1,0))</f>
        <v>1</v>
      </c>
    </row>
    <row r="55" spans="10:17" x14ac:dyDescent="0.25">
      <c r="J55" s="45">
        <f>IF(J54=0,0,IF('FNC-ORD_prospetto riassuntivo'!$B$24+'FNC-ORD_prospetto riassuntivo'!$B$27&gt;J54,J54+1,0))</f>
        <v>53</v>
      </c>
      <c r="K55" s="46">
        <f>O54*'FNC-ORD_prospetto riassuntivo'!$B$29*Q55</f>
        <v>236.55794018088</v>
      </c>
      <c r="L55" s="46">
        <f t="shared" si="4"/>
        <v>2466.8452384718757</v>
      </c>
      <c r="M55" s="46">
        <f t="shared" si="5"/>
        <v>2703.4031786527557</v>
      </c>
      <c r="N55" s="47">
        <f t="shared" si="6"/>
        <v>123919.03395164947</v>
      </c>
      <c r="O55" s="46">
        <f>('FNC-ORD_prospetto riassuntivo'!$B$13-N55)*Q55</f>
        <v>111080.96604835053</v>
      </c>
      <c r="P55" s="46">
        <f>K55/(1+SUM('FNC-ORD_prospetto riassuntivo'!$B$30:$B$31)/'FNC-ORD_prospetto riassuntivo'!$B$25)^J55</f>
        <v>200.85587510683516</v>
      </c>
      <c r="Q55">
        <f>IF(J55=0,0,IF(OR(J55&lt;'FNC-ORD_prospetto riassuntivo'!$B$24+'FNC-ORD_prospetto riassuntivo'!$B$27,J55='FNC-ORD_prospetto riassuntivo'!$B$24+'FNC-ORD_prospetto riassuntivo'!$B$27),1,0))</f>
        <v>1</v>
      </c>
    </row>
    <row r="56" spans="10:17" x14ac:dyDescent="0.25">
      <c r="J56" s="45">
        <f>IF(J55=0,0,IF('FNC-ORD_prospetto riassuntivo'!$B$24+'FNC-ORD_prospetto riassuntivo'!$B$27&gt;J55,J55+1,0))</f>
        <v>54</v>
      </c>
      <c r="K56" s="46">
        <f>O55*'FNC-ORD_prospetto riassuntivo'!$B$29*Q56</f>
        <v>231.41867926739693</v>
      </c>
      <c r="L56" s="46">
        <f t="shared" si="4"/>
        <v>2471.984499385359</v>
      </c>
      <c r="M56" s="46">
        <f t="shared" si="5"/>
        <v>2703.4031786527557</v>
      </c>
      <c r="N56" s="47">
        <f t="shared" si="6"/>
        <v>126391.01845103483</v>
      </c>
      <c r="O56" s="46">
        <f>('FNC-ORD_prospetto riassuntivo'!$B$13-N56)*Q56</f>
        <v>108608.98154896517</v>
      </c>
      <c r="P56" s="46">
        <f>K56/(1+SUM('FNC-ORD_prospetto riassuntivo'!$B$30:$B$31)/'FNC-ORD_prospetto riassuntivo'!$B$25)^J56</f>
        <v>195.88663137449186</v>
      </c>
      <c r="Q56">
        <f>IF(J56=0,0,IF(OR(J56&lt;'FNC-ORD_prospetto riassuntivo'!$B$24+'FNC-ORD_prospetto riassuntivo'!$B$27,J56='FNC-ORD_prospetto riassuntivo'!$B$24+'FNC-ORD_prospetto riassuntivo'!$B$27),1,0))</f>
        <v>1</v>
      </c>
    </row>
    <row r="57" spans="10:17" x14ac:dyDescent="0.25">
      <c r="J57" s="45">
        <f>IF(J56=0,0,IF('FNC-ORD_prospetto riassuntivo'!$B$24+'FNC-ORD_prospetto riassuntivo'!$B$27&gt;J56,J56+1,0))</f>
        <v>55</v>
      </c>
      <c r="K57" s="46">
        <f>O56*'FNC-ORD_prospetto riassuntivo'!$B$29*Q57</f>
        <v>226.26871156034409</v>
      </c>
      <c r="L57" s="46">
        <f t="shared" si="4"/>
        <v>2477.1344670924118</v>
      </c>
      <c r="M57" s="46">
        <f t="shared" si="5"/>
        <v>2703.4031786527557</v>
      </c>
      <c r="N57" s="47">
        <f t="shared" si="6"/>
        <v>128868.15291812725</v>
      </c>
      <c r="O57" s="46">
        <f>('FNC-ORD_prospetto riassuntivo'!$B$13-N57)*Q57</f>
        <v>106131.84708187275</v>
      </c>
      <c r="P57" s="46">
        <f>K57/(1+SUM('FNC-ORD_prospetto riassuntivo'!$B$30:$B$31)/'FNC-ORD_prospetto riassuntivo'!$B$25)^J57</f>
        <v>190.93707644588409</v>
      </c>
      <c r="Q57">
        <f>IF(J57=0,0,IF(OR(J57&lt;'FNC-ORD_prospetto riassuntivo'!$B$24+'FNC-ORD_prospetto riassuntivo'!$B$27,J57='FNC-ORD_prospetto riassuntivo'!$B$24+'FNC-ORD_prospetto riassuntivo'!$B$27),1,0))</f>
        <v>1</v>
      </c>
    </row>
    <row r="58" spans="10:17" x14ac:dyDescent="0.25">
      <c r="J58" s="45">
        <f>IF(J57=0,0,IF('FNC-ORD_prospetto riassuntivo'!$B$24+'FNC-ORD_prospetto riassuntivo'!$B$27&gt;J57,J57+1,0))</f>
        <v>56</v>
      </c>
      <c r="K58" s="46">
        <f>O57*'FNC-ORD_prospetto riassuntivo'!$B$29*Q58</f>
        <v>221.10801475390156</v>
      </c>
      <c r="L58" s="46">
        <f t="shared" si="4"/>
        <v>2482.2951638988543</v>
      </c>
      <c r="M58" s="46">
        <f t="shared" si="5"/>
        <v>2703.4031786527557</v>
      </c>
      <c r="N58" s="47">
        <f t="shared" si="6"/>
        <v>131350.44808202609</v>
      </c>
      <c r="O58" s="46">
        <f>('FNC-ORD_prospetto riassuntivo'!$B$13-N58)*Q58</f>
        <v>103649.55191797391</v>
      </c>
      <c r="P58" s="46">
        <f>K58/(1+SUM('FNC-ORD_prospetto riassuntivo'!$B$30:$B$31)/'FNC-ORD_prospetto riassuntivo'!$B$25)^J58</f>
        <v>186.00714524164653</v>
      </c>
      <c r="Q58">
        <f>IF(J58=0,0,IF(OR(J58&lt;'FNC-ORD_prospetto riassuntivo'!$B$24+'FNC-ORD_prospetto riassuntivo'!$B$27,J58='FNC-ORD_prospetto riassuntivo'!$B$24+'FNC-ORD_prospetto riassuntivo'!$B$27),1,0))</f>
        <v>1</v>
      </c>
    </row>
    <row r="59" spans="10:17" x14ac:dyDescent="0.25">
      <c r="J59" s="45">
        <f>IF(J58=0,0,IF('FNC-ORD_prospetto riassuntivo'!$B$24+'FNC-ORD_prospetto riassuntivo'!$B$27&gt;J58,J58+1,0))</f>
        <v>57</v>
      </c>
      <c r="K59" s="46">
        <f>O58*'FNC-ORD_prospetto riassuntivo'!$B$29*Q59</f>
        <v>215.93656649577898</v>
      </c>
      <c r="L59" s="46">
        <f t="shared" si="4"/>
        <v>2487.4666121569767</v>
      </c>
      <c r="M59" s="46">
        <f t="shared" si="5"/>
        <v>2703.4031786527557</v>
      </c>
      <c r="N59" s="47">
        <f t="shared" si="6"/>
        <v>133837.91469418307</v>
      </c>
      <c r="O59" s="46">
        <f>('FNC-ORD_prospetto riassuntivo'!$B$13-N59)*Q59</f>
        <v>101162.08530581693</v>
      </c>
      <c r="P59" s="46">
        <f>K59/(1+SUM('FNC-ORD_prospetto riassuntivo'!$B$30:$B$31)/'FNC-ORD_prospetto riassuntivo'!$B$25)^J59</f>
        <v>181.09677288741574</v>
      </c>
      <c r="Q59">
        <f>IF(J59=0,0,IF(OR(J59&lt;'FNC-ORD_prospetto riassuntivo'!$B$24+'FNC-ORD_prospetto riassuntivo'!$B$27,J59='FNC-ORD_prospetto riassuntivo'!$B$24+'FNC-ORD_prospetto riassuntivo'!$B$27),1,0))</f>
        <v>1</v>
      </c>
    </row>
    <row r="60" spans="10:17" x14ac:dyDescent="0.25">
      <c r="J60" s="45">
        <f>IF(J59=0,0,IF('FNC-ORD_prospetto riassuntivo'!$B$24+'FNC-ORD_prospetto riassuntivo'!$B$27&gt;J59,J59+1,0))</f>
        <v>58</v>
      </c>
      <c r="K60" s="46">
        <f>O59*'FNC-ORD_prospetto riassuntivo'!$B$29*Q60</f>
        <v>210.75434438711861</v>
      </c>
      <c r="L60" s="46">
        <f t="shared" si="4"/>
        <v>2492.6488342656371</v>
      </c>
      <c r="M60" s="46">
        <f t="shared" si="5"/>
        <v>2703.4031786527557</v>
      </c>
      <c r="N60" s="47">
        <f t="shared" si="6"/>
        <v>136330.56352844869</v>
      </c>
      <c r="O60" s="46">
        <f>('FNC-ORD_prospetto riassuntivo'!$B$13-N60)*Q60</f>
        <v>98669.436471551307</v>
      </c>
      <c r="P60" s="46">
        <f>K60/(1+SUM('FNC-ORD_prospetto riassuntivo'!$B$30:$B$31)/'FNC-ORD_prospetto riassuntivo'!$B$25)^J60</f>
        <v>176.20589471319443</v>
      </c>
      <c r="Q60">
        <f>IF(J60=0,0,IF(OR(J60&lt;'FNC-ORD_prospetto riassuntivo'!$B$24+'FNC-ORD_prospetto riassuntivo'!$B$27,J60='FNC-ORD_prospetto riassuntivo'!$B$24+'FNC-ORD_prospetto riassuntivo'!$B$27),1,0))</f>
        <v>1</v>
      </c>
    </row>
    <row r="61" spans="10:17" x14ac:dyDescent="0.25">
      <c r="J61" s="45">
        <f>IF(J60=0,0,IF('FNC-ORD_prospetto riassuntivo'!$B$24+'FNC-ORD_prospetto riassuntivo'!$B$27&gt;J60,J60+1,0))</f>
        <v>59</v>
      </c>
      <c r="K61" s="46">
        <f>O60*'FNC-ORD_prospetto riassuntivo'!$B$29*Q61</f>
        <v>205.56132598239856</v>
      </c>
      <c r="L61" s="46">
        <f t="shared" si="4"/>
        <v>2497.8418526703572</v>
      </c>
      <c r="M61" s="46">
        <f t="shared" si="5"/>
        <v>2703.4031786527557</v>
      </c>
      <c r="N61" s="47">
        <f t="shared" si="6"/>
        <v>138828.40538111905</v>
      </c>
      <c r="O61" s="46">
        <f>('FNC-ORD_prospetto riassuntivo'!$B$13-N61)*Q61</f>
        <v>96171.594618880947</v>
      </c>
      <c r="P61" s="46">
        <f>K61/(1+SUM('FNC-ORD_prospetto riassuntivo'!$B$30:$B$31)/'FNC-ORD_prospetto riassuntivo'!$B$25)^J61</f>
        <v>171.33444625271704</v>
      </c>
      <c r="Q61">
        <f>IF(J61=0,0,IF(OR(J61&lt;'FNC-ORD_prospetto riassuntivo'!$B$24+'FNC-ORD_prospetto riassuntivo'!$B$27,J61='FNC-ORD_prospetto riassuntivo'!$B$24+'FNC-ORD_prospetto riassuntivo'!$B$27),1,0))</f>
        <v>1</v>
      </c>
    </row>
    <row r="62" spans="10:17" x14ac:dyDescent="0.25">
      <c r="J62" s="45">
        <f>IF(J61=0,0,IF('FNC-ORD_prospetto riassuntivo'!$B$24+'FNC-ORD_prospetto riassuntivo'!$B$27&gt;J61,J61+1,0))</f>
        <v>60</v>
      </c>
      <c r="K62" s="46">
        <f>O61*'FNC-ORD_prospetto riassuntivo'!$B$29*Q62</f>
        <v>200.35748878933529</v>
      </c>
      <c r="L62" s="46">
        <f t="shared" si="4"/>
        <v>2503.0456898634206</v>
      </c>
      <c r="M62" s="46">
        <f t="shared" si="5"/>
        <v>2703.4031786527557</v>
      </c>
      <c r="N62" s="47">
        <f t="shared" si="6"/>
        <v>141331.45107098247</v>
      </c>
      <c r="O62" s="46">
        <f>('FNC-ORD_prospetto riassuntivo'!$B$13-N62)*Q62</f>
        <v>93668.548929017532</v>
      </c>
      <c r="P62" s="46">
        <f>K62/(1+SUM('FNC-ORD_prospetto riassuntivo'!$B$30:$B$31)/'FNC-ORD_prospetto riassuntivo'!$B$25)^J62</f>
        <v>166.48236324281729</v>
      </c>
      <c r="Q62">
        <f>IF(J62=0,0,IF(OR(J62&lt;'FNC-ORD_prospetto riassuntivo'!$B$24+'FNC-ORD_prospetto riassuntivo'!$B$27,J62='FNC-ORD_prospetto riassuntivo'!$B$24+'FNC-ORD_prospetto riassuntivo'!$B$27),1,0))</f>
        <v>1</v>
      </c>
    </row>
    <row r="63" spans="10:17" x14ac:dyDescent="0.25">
      <c r="J63" s="45">
        <f>IF(J62=0,0,IF('FNC-ORD_prospetto riassuntivo'!$B$24+'FNC-ORD_prospetto riassuntivo'!$B$27&gt;J62,J62+1,0))</f>
        <v>61</v>
      </c>
      <c r="K63" s="46">
        <f>O62*'FNC-ORD_prospetto riassuntivo'!$B$29*Q63</f>
        <v>195.14281026878652</v>
      </c>
      <c r="L63" s="46">
        <f t="shared" si="4"/>
        <v>2508.2603683839693</v>
      </c>
      <c r="M63" s="46">
        <f t="shared" si="5"/>
        <v>2703.4031786527557</v>
      </c>
      <c r="N63" s="47">
        <f t="shared" si="6"/>
        <v>143839.71143936642</v>
      </c>
      <c r="O63" s="46">
        <f>('FNC-ORD_prospetto riassuntivo'!$B$13-N63)*Q63</f>
        <v>91160.288560633577</v>
      </c>
      <c r="P63" s="46">
        <f>K63/(1+SUM('FNC-ORD_prospetto riassuntivo'!$B$30:$B$31)/'FNC-ORD_prospetto riassuntivo'!$B$25)^J63</f>
        <v>161.6495816227978</v>
      </c>
      <c r="Q63">
        <f>IF(J63=0,0,IF(OR(J63&lt;'FNC-ORD_prospetto riassuntivo'!$B$24+'FNC-ORD_prospetto riassuntivo'!$B$27,J63='FNC-ORD_prospetto riassuntivo'!$B$24+'FNC-ORD_prospetto riassuntivo'!$B$27),1,0))</f>
        <v>1</v>
      </c>
    </row>
    <row r="64" spans="10:17" x14ac:dyDescent="0.25">
      <c r="J64" s="45">
        <f>IF(J63=0,0,IF('FNC-ORD_prospetto riassuntivo'!$B$24+'FNC-ORD_prospetto riassuntivo'!$B$27&gt;J63,J63+1,0))</f>
        <v>62</v>
      </c>
      <c r="K64" s="46">
        <f>O63*'FNC-ORD_prospetto riassuntivo'!$B$29*Q64</f>
        <v>189.91726783465327</v>
      </c>
      <c r="L64" s="46">
        <f t="shared" si="4"/>
        <v>2513.4859108181026</v>
      </c>
      <c r="M64" s="46">
        <f t="shared" si="5"/>
        <v>2703.4031786527557</v>
      </c>
      <c r="N64" s="47">
        <f t="shared" si="6"/>
        <v>146353.19735018452</v>
      </c>
      <c r="O64" s="46">
        <f>('FNC-ORD_prospetto riassuntivo'!$B$13-N64)*Q64</f>
        <v>88646.80264981548</v>
      </c>
      <c r="P64" s="46">
        <f>K64/(1+SUM('FNC-ORD_prospetto riassuntivo'!$B$30:$B$31)/'FNC-ORD_prospetto riassuntivo'!$B$25)^J64</f>
        <v>156.8360375338018</v>
      </c>
      <c r="Q64">
        <f>IF(J64=0,0,IF(OR(J64&lt;'FNC-ORD_prospetto riassuntivo'!$B$24+'FNC-ORD_prospetto riassuntivo'!$B$27,J64='FNC-ORD_prospetto riassuntivo'!$B$24+'FNC-ORD_prospetto riassuntivo'!$B$27),1,0))</f>
        <v>1</v>
      </c>
    </row>
    <row r="65" spans="10:17" x14ac:dyDescent="0.25">
      <c r="J65" s="45">
        <f>IF(J64=0,0,IF('FNC-ORD_prospetto riassuntivo'!$B$24+'FNC-ORD_prospetto riassuntivo'!$B$27&gt;J64,J64+1,0))</f>
        <v>63</v>
      </c>
      <c r="K65" s="46">
        <f>O64*'FNC-ORD_prospetto riassuntivo'!$B$29*Q65</f>
        <v>184.68083885378223</v>
      </c>
      <c r="L65" s="46">
        <f t="shared" si="4"/>
        <v>2518.7223397989737</v>
      </c>
      <c r="M65" s="46">
        <f t="shared" si="5"/>
        <v>2703.4031786527557</v>
      </c>
      <c r="N65" s="47">
        <f t="shared" si="6"/>
        <v>148871.91968998351</v>
      </c>
      <c r="O65" s="46">
        <f>('FNC-ORD_prospetto riassuntivo'!$B$13-N65)*Q65</f>
        <v>86128.080310016492</v>
      </c>
      <c r="P65" s="46">
        <f>K65/(1+SUM('FNC-ORD_prospetto riassuntivo'!$B$30:$B$31)/'FNC-ORD_prospetto riassuntivo'!$B$25)^J65</f>
        <v>152.04166731818614</v>
      </c>
      <c r="Q65">
        <f>IF(J65=0,0,IF(OR(J65&lt;'FNC-ORD_prospetto riassuntivo'!$B$24+'FNC-ORD_prospetto riassuntivo'!$B$27,J65='FNC-ORD_prospetto riassuntivo'!$B$24+'FNC-ORD_prospetto riassuntivo'!$B$27),1,0))</f>
        <v>1</v>
      </c>
    </row>
    <row r="66" spans="10:17" x14ac:dyDescent="0.25">
      <c r="J66" s="45">
        <f>IF(J65=0,0,IF('FNC-ORD_prospetto riassuntivo'!$B$24+'FNC-ORD_prospetto riassuntivo'!$B$27&gt;J65,J65+1,0))</f>
        <v>64</v>
      </c>
      <c r="K66" s="46">
        <f>O65*'FNC-ORD_prospetto riassuntivo'!$B$29*Q66</f>
        <v>179.4335006458677</v>
      </c>
      <c r="L66" s="46">
        <f t="shared" si="4"/>
        <v>2523.969678006888</v>
      </c>
      <c r="M66" s="46">
        <f t="shared" si="5"/>
        <v>2703.4031786527557</v>
      </c>
      <c r="N66" s="47">
        <f t="shared" si="6"/>
        <v>151395.8893679904</v>
      </c>
      <c r="O66" s="46">
        <f>('FNC-ORD_prospetto riassuntivo'!$B$13-N66)*Q66</f>
        <v>83604.110632009601</v>
      </c>
      <c r="P66" s="46">
        <f>K66/(1+SUM('FNC-ORD_prospetto riassuntivo'!$B$30:$B$31)/'FNC-ORD_prospetto riassuntivo'!$B$25)^J66</f>
        <v>147.26640751889735</v>
      </c>
      <c r="Q66">
        <f>IF(J66=0,0,IF(OR(J66&lt;'FNC-ORD_prospetto riassuntivo'!$B$24+'FNC-ORD_prospetto riassuntivo'!$B$27,J66='FNC-ORD_prospetto riassuntivo'!$B$24+'FNC-ORD_prospetto riassuntivo'!$B$27),1,0))</f>
        <v>1</v>
      </c>
    </row>
    <row r="67" spans="10:17" x14ac:dyDescent="0.25">
      <c r="J67" s="45">
        <f>IF(J66=0,0,IF('FNC-ORD_prospetto riassuntivo'!$B$24+'FNC-ORD_prospetto riassuntivo'!$B$27&gt;J66,J66+1,0))</f>
        <v>65</v>
      </c>
      <c r="K67" s="46">
        <f>O66*'FNC-ORD_prospetto riassuntivo'!$B$29*Q67</f>
        <v>174.17523048335335</v>
      </c>
      <c r="L67" s="46">
        <f t="shared" ref="L67:L98" si="7">M67-K67</f>
        <v>2529.2279481694022</v>
      </c>
      <c r="M67" s="46">
        <f t="shared" si="5"/>
        <v>2703.4031786527557</v>
      </c>
      <c r="N67" s="47">
        <f t="shared" si="6"/>
        <v>153925.1173161598</v>
      </c>
      <c r="O67" s="46">
        <f>('FNC-ORD_prospetto riassuntivo'!$B$13-N67)*Q67</f>
        <v>81074.882683840202</v>
      </c>
      <c r="P67" s="46">
        <f>K67/(1+SUM('FNC-ORD_prospetto riassuntivo'!$B$30:$B$31)/'FNC-ORD_prospetto riassuntivo'!$B$25)^J67</f>
        <v>142.51019487884852</v>
      </c>
      <c r="Q67">
        <f>IF(J67=0,0,IF(OR(J67&lt;'FNC-ORD_prospetto riassuntivo'!$B$24+'FNC-ORD_prospetto riassuntivo'!$B$27,J67='FNC-ORD_prospetto riassuntivo'!$B$24+'FNC-ORD_prospetto riassuntivo'!$B$27),1,0))</f>
        <v>1</v>
      </c>
    </row>
    <row r="68" spans="10:17" x14ac:dyDescent="0.25">
      <c r="J68" s="45">
        <f>IF(J67=0,0,IF('FNC-ORD_prospetto riassuntivo'!$B$24+'FNC-ORD_prospetto riassuntivo'!$B$27&gt;J67,J67+1,0))</f>
        <v>66</v>
      </c>
      <c r="K68" s="46">
        <f>O67*'FNC-ORD_prospetto riassuntivo'!$B$29*Q68</f>
        <v>168.90600559133375</v>
      </c>
      <c r="L68" s="46">
        <f t="shared" si="7"/>
        <v>2534.497173061422</v>
      </c>
      <c r="M68" s="46">
        <f t="shared" ref="M68:M98" si="8">$M$3*Q68</f>
        <v>2703.4031786527557</v>
      </c>
      <c r="N68" s="47">
        <f t="shared" ref="N68:N98" si="9">(L68+N67)*Q68</f>
        <v>156459.61448922122</v>
      </c>
      <c r="O68" s="46">
        <f>('FNC-ORD_prospetto riassuntivo'!$B$13-N68)*Q68</f>
        <v>78540.385510778782</v>
      </c>
      <c r="P68" s="46">
        <f>K68/(1+SUM('FNC-ORD_prospetto riassuntivo'!$B$30:$B$31)/'FNC-ORD_prospetto riassuntivo'!$B$25)^J68</f>
        <v>137.77296634029875</v>
      </c>
      <c r="Q68">
        <f>IF(J68=0,0,IF(OR(J68&lt;'FNC-ORD_prospetto riassuntivo'!$B$24+'FNC-ORD_prospetto riassuntivo'!$B$27,J68='FNC-ORD_prospetto riassuntivo'!$B$24+'FNC-ORD_prospetto riassuntivo'!$B$27),1,0))</f>
        <v>1</v>
      </c>
    </row>
    <row r="69" spans="10:17" x14ac:dyDescent="0.25">
      <c r="J69" s="45">
        <f>IF(J68=0,0,IF('FNC-ORD_prospetto riassuntivo'!$B$24+'FNC-ORD_prospetto riassuntivo'!$B$27&gt;J68,J68+1,0))</f>
        <v>67</v>
      </c>
      <c r="K69" s="46">
        <f>O68*'FNC-ORD_prospetto riassuntivo'!$B$29*Q69</f>
        <v>163.6258031474558</v>
      </c>
      <c r="L69" s="46">
        <f t="shared" si="7"/>
        <v>2539.7773755052999</v>
      </c>
      <c r="M69" s="46">
        <f t="shared" si="8"/>
        <v>2703.4031786527557</v>
      </c>
      <c r="N69" s="47">
        <f t="shared" si="9"/>
        <v>158999.39186472652</v>
      </c>
      <c r="O69" s="46">
        <f>('FNC-ORD_prospetto riassuntivo'!$B$13-N69)*Q69</f>
        <v>76000.608135273476</v>
      </c>
      <c r="P69" s="46">
        <f>K69/(1+SUM('FNC-ORD_prospetto riassuntivo'!$B$30:$B$31)/'FNC-ORD_prospetto riassuntivo'!$B$25)^J69</f>
        <v>133.05465904423423</v>
      </c>
      <c r="Q69">
        <f>IF(J69=0,0,IF(OR(J69&lt;'FNC-ORD_prospetto riassuntivo'!$B$24+'FNC-ORD_prospetto riassuntivo'!$B$27,J69='FNC-ORD_prospetto riassuntivo'!$B$24+'FNC-ORD_prospetto riassuntivo'!$B$27),1,0))</f>
        <v>1</v>
      </c>
    </row>
    <row r="70" spans="10:17" x14ac:dyDescent="0.25">
      <c r="J70" s="45">
        <f>IF(J69=0,0,IF('FNC-ORD_prospetto riassuntivo'!$B$24+'FNC-ORD_prospetto riassuntivo'!$B$27&gt;J69,J69+1,0))</f>
        <v>68</v>
      </c>
      <c r="K70" s="46">
        <f>O69*'FNC-ORD_prospetto riassuntivo'!$B$29*Q70</f>
        <v>158.33460028181975</v>
      </c>
      <c r="L70" s="46">
        <f t="shared" si="7"/>
        <v>2545.0685783709359</v>
      </c>
      <c r="M70" s="46">
        <f t="shared" si="8"/>
        <v>2703.4031786527557</v>
      </c>
      <c r="N70" s="47">
        <f t="shared" si="9"/>
        <v>161544.46044309746</v>
      </c>
      <c r="O70" s="46">
        <f>('FNC-ORD_prospetto riassuntivo'!$B$13-N70)*Q70</f>
        <v>73455.539556902542</v>
      </c>
      <c r="P70" s="46">
        <f>K70/(1+SUM('FNC-ORD_prospetto riassuntivo'!$B$30:$B$31)/'FNC-ORD_prospetto riassuntivo'!$B$25)^J70</f>
        <v>128.3552103297514</v>
      </c>
      <c r="Q70">
        <f>IF(J70=0,0,IF(OR(J70&lt;'FNC-ORD_prospetto riassuntivo'!$B$24+'FNC-ORD_prospetto riassuntivo'!$B$27,J70='FNC-ORD_prospetto riassuntivo'!$B$24+'FNC-ORD_prospetto riassuntivo'!$B$27),1,0))</f>
        <v>1</v>
      </c>
    </row>
    <row r="71" spans="10:17" x14ac:dyDescent="0.25">
      <c r="J71" s="45">
        <f>IF(J70=0,0,IF('FNC-ORD_prospetto riassuntivo'!$B$24+'FNC-ORD_prospetto riassuntivo'!$B$27&gt;J70,J70+1,0))</f>
        <v>69</v>
      </c>
      <c r="K71" s="46">
        <f>O70*'FNC-ORD_prospetto riassuntivo'!$B$29*Q71</f>
        <v>153.0323740768803</v>
      </c>
      <c r="L71" s="46">
        <f t="shared" si="7"/>
        <v>2550.3708045758754</v>
      </c>
      <c r="M71" s="46">
        <f t="shared" si="8"/>
        <v>2703.4031786527557</v>
      </c>
      <c r="N71" s="47">
        <f t="shared" si="9"/>
        <v>164094.83124767334</v>
      </c>
      <c r="O71" s="46">
        <f>('FNC-ORD_prospetto riassuntivo'!$B$13-N71)*Q71</f>
        <v>70905.168752326659</v>
      </c>
      <c r="P71" s="46">
        <f>K71/(1+SUM('FNC-ORD_prospetto riassuntivo'!$B$30:$B$31)/'FNC-ORD_prospetto riassuntivo'!$B$25)^J71</f>
        <v>123.67455773344207</v>
      </c>
      <c r="Q71">
        <f>IF(J71=0,0,IF(OR(J71&lt;'FNC-ORD_prospetto riassuntivo'!$B$24+'FNC-ORD_prospetto riassuntivo'!$B$27,J71='FNC-ORD_prospetto riassuntivo'!$B$24+'FNC-ORD_prospetto riassuntivo'!$B$27),1,0))</f>
        <v>1</v>
      </c>
    </row>
    <row r="72" spans="10:17" x14ac:dyDescent="0.25">
      <c r="J72" s="45">
        <f>IF(J71=0,0,IF('FNC-ORD_prospetto riassuntivo'!$B$24+'FNC-ORD_prospetto riassuntivo'!$B$27&gt;J71,J71+1,0))</f>
        <v>70</v>
      </c>
      <c r="K72" s="46">
        <f>O71*'FNC-ORD_prospetto riassuntivo'!$B$29*Q72</f>
        <v>147.7191015673472</v>
      </c>
      <c r="L72" s="46">
        <f t="shared" si="7"/>
        <v>2555.6840770854087</v>
      </c>
      <c r="M72" s="46">
        <f t="shared" si="8"/>
        <v>2703.4031786527557</v>
      </c>
      <c r="N72" s="47">
        <f t="shared" si="9"/>
        <v>166650.51532475874</v>
      </c>
      <c r="O72" s="46">
        <f>('FNC-ORD_prospetto riassuntivo'!$B$13-N72)*Q72</f>
        <v>68349.484675241256</v>
      </c>
      <c r="P72" s="46">
        <f>K72/(1+SUM('FNC-ORD_prospetto riassuntivo'!$B$30:$B$31)/'FNC-ORD_prospetto riassuntivo'!$B$25)^J72</f>
        <v>119.0126389887801</v>
      </c>
      <c r="Q72">
        <f>IF(J72=0,0,IF(OR(J72&lt;'FNC-ORD_prospetto riassuntivo'!$B$24+'FNC-ORD_prospetto riassuntivo'!$B$27,J72='FNC-ORD_prospetto riassuntivo'!$B$24+'FNC-ORD_prospetto riassuntivo'!$B$27),1,0))</f>
        <v>1</v>
      </c>
    </row>
    <row r="73" spans="10:17" x14ac:dyDescent="0.25">
      <c r="J73" s="45">
        <f>IF(J72=0,0,IF('FNC-ORD_prospetto riassuntivo'!$B$24+'FNC-ORD_prospetto riassuntivo'!$B$27&gt;J72,J72+1,0))</f>
        <v>71</v>
      </c>
      <c r="K73" s="46">
        <f>O72*'FNC-ORD_prospetto riassuntivo'!$B$29*Q73</f>
        <v>142.39475974008596</v>
      </c>
      <c r="L73" s="46">
        <f t="shared" si="7"/>
        <v>2561.0084189126696</v>
      </c>
      <c r="M73" s="46">
        <f t="shared" si="8"/>
        <v>2703.4031786527557</v>
      </c>
      <c r="N73" s="47">
        <f t="shared" si="9"/>
        <v>169211.52374367142</v>
      </c>
      <c r="O73" s="46">
        <f>('FNC-ORD_prospetto riassuntivo'!$B$13-N73)*Q73</f>
        <v>65788.476256328577</v>
      </c>
      <c r="P73" s="46">
        <f>K73/(1+SUM('FNC-ORD_prospetto riassuntivo'!$B$30:$B$31)/'FNC-ORD_prospetto riassuntivo'!$B$25)^J73</f>
        <v>114.36939202551038</v>
      </c>
      <c r="Q73">
        <f>IF(J73=0,0,IF(OR(J73&lt;'FNC-ORD_prospetto riassuntivo'!$B$24+'FNC-ORD_prospetto riassuntivo'!$B$27,J73='FNC-ORD_prospetto riassuntivo'!$B$24+'FNC-ORD_prospetto riassuntivo'!$B$27),1,0))</f>
        <v>1</v>
      </c>
    </row>
    <row r="74" spans="10:17" x14ac:dyDescent="0.25">
      <c r="J74" s="45">
        <f>IF(J73=0,0,IF('FNC-ORD_prospetto riassuntivo'!$B$24+'FNC-ORD_prospetto riassuntivo'!$B$27&gt;J73,J73+1,0))</f>
        <v>72</v>
      </c>
      <c r="K74" s="46">
        <f>O73*'FNC-ORD_prospetto riassuntivo'!$B$29*Q74</f>
        <v>137.05932553401786</v>
      </c>
      <c r="L74" s="46">
        <f t="shared" si="7"/>
        <v>2566.343853118738</v>
      </c>
      <c r="M74" s="46">
        <f t="shared" si="8"/>
        <v>2703.4031786527557</v>
      </c>
      <c r="N74" s="47">
        <f t="shared" si="9"/>
        <v>171777.86759679017</v>
      </c>
      <c r="O74" s="46">
        <f>('FNC-ORD_prospetto riassuntivo'!$B$13-N74)*Q74</f>
        <v>63222.132403209835</v>
      </c>
      <c r="P74" s="46">
        <f>K74/(1+SUM('FNC-ORD_prospetto riassuntivo'!$B$30:$B$31)/'FNC-ORD_prospetto riassuntivo'!$B$25)^J74</f>
        <v>109.74475496903936</v>
      </c>
      <c r="Q74">
        <f>IF(J74=0,0,IF(OR(J74&lt;'FNC-ORD_prospetto riassuntivo'!$B$24+'FNC-ORD_prospetto riassuntivo'!$B$27,J74='FNC-ORD_prospetto riassuntivo'!$B$24+'FNC-ORD_prospetto riassuntivo'!$B$27),1,0))</f>
        <v>1</v>
      </c>
    </row>
    <row r="75" spans="10:17" x14ac:dyDescent="0.25">
      <c r="J75" s="45">
        <f>IF(J74=0,0,IF('FNC-ORD_prospetto riassuntivo'!$B$24+'FNC-ORD_prospetto riassuntivo'!$B$27&gt;J74,J74+1,0))</f>
        <v>73</v>
      </c>
      <c r="K75" s="46">
        <f>O74*'FNC-ORD_prospetto riassuntivo'!$B$29*Q75</f>
        <v>131.7127758400205</v>
      </c>
      <c r="L75" s="46">
        <f t="shared" si="7"/>
        <v>2571.6904028127351</v>
      </c>
      <c r="M75" s="46">
        <f t="shared" si="8"/>
        <v>2703.4031786527557</v>
      </c>
      <c r="N75" s="47">
        <f t="shared" si="9"/>
        <v>174349.5579996029</v>
      </c>
      <c r="O75" s="46">
        <f>('FNC-ORD_prospetto riassuntivo'!$B$13-N75)*Q75</f>
        <v>60650.442000397103</v>
      </c>
      <c r="P75" s="46">
        <f>K75/(1+SUM('FNC-ORD_prospetto riassuntivo'!$B$30:$B$31)/'FNC-ORD_prospetto riassuntivo'!$B$25)^J75</f>
        <v>105.13866613982782</v>
      </c>
      <c r="Q75">
        <f>IF(J75=0,0,IF(OR(J75&lt;'FNC-ORD_prospetto riassuntivo'!$B$24+'FNC-ORD_prospetto riassuntivo'!$B$27,J75='FNC-ORD_prospetto riassuntivo'!$B$24+'FNC-ORD_prospetto riassuntivo'!$B$27),1,0))</f>
        <v>1</v>
      </c>
    </row>
    <row r="76" spans="10:17" x14ac:dyDescent="0.25">
      <c r="J76" s="45">
        <f>IF(J75=0,0,IF('FNC-ORD_prospetto riassuntivo'!$B$24+'FNC-ORD_prospetto riassuntivo'!$B$27&gt;J75,J75+1,0))</f>
        <v>74</v>
      </c>
      <c r="K76" s="46">
        <f>O75*'FNC-ORD_prospetto riassuntivo'!$B$29*Q76</f>
        <v>126.3550875008273</v>
      </c>
      <c r="L76" s="46">
        <f t="shared" si="7"/>
        <v>2577.0480911519285</v>
      </c>
      <c r="M76" s="46">
        <f t="shared" si="8"/>
        <v>2703.4031786527557</v>
      </c>
      <c r="N76" s="47">
        <f t="shared" si="9"/>
        <v>176926.60609075482</v>
      </c>
      <c r="O76" s="46">
        <f>('FNC-ORD_prospetto riassuntivo'!$B$13-N76)*Q76</f>
        <v>58073.393909245176</v>
      </c>
      <c r="P76" s="46">
        <f>K76/(1+SUM('FNC-ORD_prospetto riassuntivo'!$B$30:$B$31)/'FNC-ORD_prospetto riassuntivo'!$B$25)^J76</f>
        <v>100.55106405278509</v>
      </c>
      <c r="Q76">
        <f>IF(J76=0,0,IF(OR(J76&lt;'FNC-ORD_prospetto riassuntivo'!$B$24+'FNC-ORD_prospetto riassuntivo'!$B$27,J76='FNC-ORD_prospetto riassuntivo'!$B$24+'FNC-ORD_prospetto riassuntivo'!$B$27),1,0))</f>
        <v>1</v>
      </c>
    </row>
    <row r="77" spans="10:17" x14ac:dyDescent="0.25">
      <c r="J77" s="45">
        <f>IF(J76=0,0,IF('FNC-ORD_prospetto riassuntivo'!$B$24+'FNC-ORD_prospetto riassuntivo'!$B$27&gt;J76,J76+1,0))</f>
        <v>75</v>
      </c>
      <c r="K77" s="46">
        <f>O76*'FNC-ORD_prospetto riassuntivo'!$B$29*Q77</f>
        <v>120.98623731092745</v>
      </c>
      <c r="L77" s="46">
        <f t="shared" si="7"/>
        <v>2582.4169413418281</v>
      </c>
      <c r="M77" s="46">
        <f t="shared" si="8"/>
        <v>2703.4031786527557</v>
      </c>
      <c r="N77" s="47">
        <f t="shared" si="9"/>
        <v>179509.02303209665</v>
      </c>
      <c r="O77" s="46">
        <f>('FNC-ORD_prospetto riassuntivo'!$B$13-N77)*Q77</f>
        <v>55490.976967903349</v>
      </c>
      <c r="P77" s="46">
        <f>K77/(1+SUM('FNC-ORD_prospetto riassuntivo'!$B$30:$B$31)/'FNC-ORD_prospetto riassuntivo'!$B$25)^J77</f>
        <v>95.981887416665558</v>
      </c>
      <c r="Q77">
        <f>IF(J77=0,0,IF(OR(J77&lt;'FNC-ORD_prospetto riassuntivo'!$B$24+'FNC-ORD_prospetto riassuntivo'!$B$27,J77='FNC-ORD_prospetto riassuntivo'!$B$24+'FNC-ORD_prospetto riassuntivo'!$B$27),1,0))</f>
        <v>1</v>
      </c>
    </row>
    <row r="78" spans="10:17" x14ac:dyDescent="0.25">
      <c r="J78" s="45">
        <f>IF(J77=0,0,IF('FNC-ORD_prospetto riassuntivo'!$B$24+'FNC-ORD_prospetto riassuntivo'!$B$27&gt;J77,J77+1,0))</f>
        <v>76</v>
      </c>
      <c r="K78" s="46">
        <f>O77*'FNC-ORD_prospetto riassuntivo'!$B$29*Q78</f>
        <v>115.6062020164653</v>
      </c>
      <c r="L78" s="46">
        <f t="shared" si="7"/>
        <v>2587.7969766362903</v>
      </c>
      <c r="M78" s="46">
        <f t="shared" si="8"/>
        <v>2703.4031786527557</v>
      </c>
      <c r="N78" s="47">
        <f t="shared" si="9"/>
        <v>182096.82000873293</v>
      </c>
      <c r="O78" s="46">
        <f>('FNC-ORD_prospetto riassuntivo'!$B$13-N78)*Q78</f>
        <v>52903.179991267069</v>
      </c>
      <c r="P78" s="46">
        <f>K78/(1+SUM('FNC-ORD_prospetto riassuntivo'!$B$30:$B$31)/'FNC-ORD_prospetto riassuntivo'!$B$25)^J78</f>
        <v>91.431075133466692</v>
      </c>
      <c r="Q78">
        <f>IF(J78=0,0,IF(OR(J78&lt;'FNC-ORD_prospetto riassuntivo'!$B$24+'FNC-ORD_prospetto riassuntivo'!$B$27,J78='FNC-ORD_prospetto riassuntivo'!$B$24+'FNC-ORD_prospetto riassuntivo'!$B$27),1,0))</f>
        <v>1</v>
      </c>
    </row>
    <row r="79" spans="10:17" x14ac:dyDescent="0.25">
      <c r="J79" s="45">
        <f>IF(J78=0,0,IF('FNC-ORD_prospetto riassuntivo'!$B$24+'FNC-ORD_prospetto riassuntivo'!$B$27&gt;J78,J78+1,0))</f>
        <v>77</v>
      </c>
      <c r="K79" s="46">
        <f>O78*'FNC-ORD_prospetto riassuntivo'!$B$29*Q79</f>
        <v>110.21495831513973</v>
      </c>
      <c r="L79" s="46">
        <f t="shared" si="7"/>
        <v>2593.1882203376158</v>
      </c>
      <c r="M79" s="46">
        <f t="shared" si="8"/>
        <v>2703.4031786527557</v>
      </c>
      <c r="N79" s="47">
        <f t="shared" si="9"/>
        <v>184690.00822907055</v>
      </c>
      <c r="O79" s="46">
        <f>('FNC-ORD_prospetto riassuntivo'!$B$13-N79)*Q79</f>
        <v>50309.991770929453</v>
      </c>
      <c r="P79" s="46">
        <f>K79/(1+SUM('FNC-ORD_prospetto riassuntivo'!$B$30:$B$31)/'FNC-ORD_prospetto riassuntivo'!$B$25)^J79</f>
        <v>86.898566297829248</v>
      </c>
      <c r="Q79">
        <f>IF(J79=0,0,IF(OR(J79&lt;'FNC-ORD_prospetto riassuntivo'!$B$24+'FNC-ORD_prospetto riassuntivo'!$B$27,J79='FNC-ORD_prospetto riassuntivo'!$B$24+'FNC-ORD_prospetto riassuntivo'!$B$27),1,0))</f>
        <v>1</v>
      </c>
    </row>
    <row r="80" spans="10:17" x14ac:dyDescent="0.25">
      <c r="J80" s="45">
        <f>IF(J79=0,0,IF('FNC-ORD_prospetto riassuntivo'!$B$24+'FNC-ORD_prospetto riassuntivo'!$B$27&gt;J79,J79+1,0))</f>
        <v>78</v>
      </c>
      <c r="K80" s="46">
        <f>O79*'FNC-ORD_prospetto riassuntivo'!$B$29*Q80</f>
        <v>104.81248285610303</v>
      </c>
      <c r="L80" s="46">
        <f t="shared" si="7"/>
        <v>2598.5906957966527</v>
      </c>
      <c r="M80" s="46">
        <f t="shared" si="8"/>
        <v>2703.4031786527557</v>
      </c>
      <c r="N80" s="47">
        <f t="shared" si="9"/>
        <v>187288.5989248672</v>
      </c>
      <c r="O80" s="46">
        <f>('FNC-ORD_prospetto riassuntivo'!$B$13-N80)*Q80</f>
        <v>47711.401075132802</v>
      </c>
      <c r="P80" s="46">
        <f>K80/(1+SUM('FNC-ORD_prospetto riassuntivo'!$B$30:$B$31)/'FNC-ORD_prospetto riassuntivo'!$B$25)^J80</f>
        <v>82.384300196439</v>
      </c>
      <c r="Q80">
        <f>IF(J80=0,0,IF(OR(J80&lt;'FNC-ORD_prospetto riassuntivo'!$B$24+'FNC-ORD_prospetto riassuntivo'!$B$27,J80='FNC-ORD_prospetto riassuntivo'!$B$24+'FNC-ORD_prospetto riassuntivo'!$B$27),1,0))</f>
        <v>1</v>
      </c>
    </row>
    <row r="81" spans="10:17" x14ac:dyDescent="0.25">
      <c r="J81" s="45">
        <f>IF(J80=0,0,IF('FNC-ORD_prospetto riassuntivo'!$B$24+'FNC-ORD_prospetto riassuntivo'!$B$27&gt;J80,J80+1,0))</f>
        <v>79</v>
      </c>
      <c r="K81" s="46">
        <f>O80*'FNC-ORD_prospetto riassuntivo'!$B$29*Q81</f>
        <v>99.398752239860002</v>
      </c>
      <c r="L81" s="46">
        <f t="shared" si="7"/>
        <v>2604.0044264128956</v>
      </c>
      <c r="M81" s="46">
        <f t="shared" si="8"/>
        <v>2703.4031786527557</v>
      </c>
      <c r="N81" s="47">
        <f t="shared" si="9"/>
        <v>189892.60335128009</v>
      </c>
      <c r="O81" s="46">
        <f>('FNC-ORD_prospetto riassuntivo'!$B$13-N81)*Q81</f>
        <v>45107.396648719907</v>
      </c>
      <c r="P81" s="46">
        <f>K81/(1+SUM('FNC-ORD_prospetto riassuntivo'!$B$30:$B$31)/'FNC-ORD_prospetto riassuntivo'!$B$25)^J81</f>
        <v>77.888216307430511</v>
      </c>
      <c r="Q81">
        <f>IF(J81=0,0,IF(OR(J81&lt;'FNC-ORD_prospetto riassuntivo'!$B$24+'FNC-ORD_prospetto riassuntivo'!$B$27,J81='FNC-ORD_prospetto riassuntivo'!$B$24+'FNC-ORD_prospetto riassuntivo'!$B$27),1,0))</f>
        <v>1</v>
      </c>
    </row>
    <row r="82" spans="10:17" x14ac:dyDescent="0.25">
      <c r="J82" s="45">
        <f>IF(J81=0,0,IF('FNC-ORD_prospetto riassuntivo'!$B$24+'FNC-ORD_prospetto riassuntivo'!$B$27&gt;J81,J81+1,0))</f>
        <v>80</v>
      </c>
      <c r="K82" s="46">
        <f>O81*'FNC-ORD_prospetto riassuntivo'!$B$29*Q82</f>
        <v>93.973743018166473</v>
      </c>
      <c r="L82" s="46">
        <f t="shared" si="7"/>
        <v>2609.4294356345895</v>
      </c>
      <c r="M82" s="46">
        <f t="shared" si="8"/>
        <v>2703.4031786527557</v>
      </c>
      <c r="N82" s="47">
        <f t="shared" si="9"/>
        <v>192502.03278691467</v>
      </c>
      <c r="O82" s="46">
        <f>('FNC-ORD_prospetto riassuntivo'!$B$13-N82)*Q82</f>
        <v>42497.967213085329</v>
      </c>
      <c r="P82" s="46">
        <f>K82/(1+SUM('FNC-ORD_prospetto riassuntivo'!$B$30:$B$31)/'FNC-ORD_prospetto riassuntivo'!$B$25)^J82</f>
        <v>73.410254299792896</v>
      </c>
      <c r="Q82">
        <f>IF(J82=0,0,IF(OR(J82&lt;'FNC-ORD_prospetto riassuntivo'!$B$24+'FNC-ORD_prospetto riassuntivo'!$B$27,J82='FNC-ORD_prospetto riassuntivo'!$B$24+'FNC-ORD_prospetto riassuntivo'!$B$27),1,0))</f>
        <v>1</v>
      </c>
    </row>
    <row r="83" spans="10:17" x14ac:dyDescent="0.25">
      <c r="J83" s="45">
        <f>IF(J82=0,0,IF('FNC-ORD_prospetto riassuntivo'!$B$24+'FNC-ORD_prospetto riassuntivo'!$B$27&gt;J82,J82+1,0))</f>
        <v>81</v>
      </c>
      <c r="K83" s="46">
        <f>O82*'FNC-ORD_prospetto riassuntivo'!$B$29*Q83</f>
        <v>88.537431693927772</v>
      </c>
      <c r="L83" s="46">
        <f t="shared" si="7"/>
        <v>2614.8657469588279</v>
      </c>
      <c r="M83" s="46">
        <f t="shared" si="8"/>
        <v>2703.4031786527557</v>
      </c>
      <c r="N83" s="47">
        <f t="shared" si="9"/>
        <v>195116.89853387349</v>
      </c>
      <c r="O83" s="46">
        <f>('FNC-ORD_prospetto riassuntivo'!$B$13-N83)*Q83</f>
        <v>39883.101466126507</v>
      </c>
      <c r="P83" s="46">
        <f>K83/(1+SUM('FNC-ORD_prospetto riassuntivo'!$B$30:$B$31)/'FNC-ORD_prospetto riassuntivo'!$B$25)^J83</f>
        <v>68.950354032777028</v>
      </c>
      <c r="Q83">
        <f>IF(J83=0,0,IF(OR(J83&lt;'FNC-ORD_prospetto riassuntivo'!$B$24+'FNC-ORD_prospetto riassuntivo'!$B$27,J83='FNC-ORD_prospetto riassuntivo'!$B$24+'FNC-ORD_prospetto riassuntivo'!$B$27),1,0))</f>
        <v>1</v>
      </c>
    </row>
    <row r="84" spans="10:17" x14ac:dyDescent="0.25">
      <c r="J84" s="45">
        <f>IF(J83=0,0,IF('FNC-ORD_prospetto riassuntivo'!$B$24+'FNC-ORD_prospetto riassuntivo'!$B$27&gt;J83,J83+1,0))</f>
        <v>82</v>
      </c>
      <c r="K84" s="46">
        <f>O83*'FNC-ORD_prospetto riassuntivo'!$B$29*Q84</f>
        <v>83.089794721096894</v>
      </c>
      <c r="L84" s="46">
        <f t="shared" si="7"/>
        <v>2620.3133839316588</v>
      </c>
      <c r="M84" s="46">
        <f t="shared" si="8"/>
        <v>2703.4031786527557</v>
      </c>
      <c r="N84" s="47">
        <f t="shared" si="9"/>
        <v>197737.21191780517</v>
      </c>
      <c r="O84" s="46">
        <f>('FNC-ORD_prospetto riassuntivo'!$B$13-N84)*Q84</f>
        <v>37262.788082194835</v>
      </c>
      <c r="P84" s="46">
        <f>K84/(1+SUM('FNC-ORD_prospetto riassuntivo'!$B$30:$B$31)/'FNC-ORD_prospetto riassuntivo'!$B$25)^J84</f>
        <v>64.508455555304835</v>
      </c>
      <c r="Q84">
        <f>IF(J84=0,0,IF(OR(J84&lt;'FNC-ORD_prospetto riassuntivo'!$B$24+'FNC-ORD_prospetto riassuntivo'!$B$27,J84='FNC-ORD_prospetto riassuntivo'!$B$24+'FNC-ORD_prospetto riassuntivo'!$B$27),1,0))</f>
        <v>1</v>
      </c>
    </row>
    <row r="85" spans="10:17" x14ac:dyDescent="0.25">
      <c r="J85" s="45">
        <f>IF(J84=0,0,IF('FNC-ORD_prospetto riassuntivo'!$B$24+'FNC-ORD_prospetto riassuntivo'!$B$27&gt;J84,J84+1,0))</f>
        <v>83</v>
      </c>
      <c r="K85" s="46">
        <f>O84*'FNC-ORD_prospetto riassuntivo'!$B$29*Q85</f>
        <v>77.63080850457257</v>
      </c>
      <c r="L85" s="46">
        <f t="shared" si="7"/>
        <v>2625.7723701481832</v>
      </c>
      <c r="M85" s="46">
        <f t="shared" si="8"/>
        <v>2703.4031786527557</v>
      </c>
      <c r="N85" s="47">
        <f t="shared" si="9"/>
        <v>200362.98428795335</v>
      </c>
      <c r="O85" s="46">
        <f>('FNC-ORD_prospetto riassuntivo'!$B$13-N85)*Q85</f>
        <v>34637.015712046647</v>
      </c>
      <c r="P85" s="46">
        <f>K85/(1+SUM('FNC-ORD_prospetto riassuntivo'!$B$30:$B$31)/'FNC-ORD_prospetto riassuntivo'!$B$25)^J85</f>
        <v>60.084499105380402</v>
      </c>
      <c r="Q85">
        <f>IF(J85=0,0,IF(OR(J85&lt;'FNC-ORD_prospetto riassuntivo'!$B$24+'FNC-ORD_prospetto riassuntivo'!$B$27,J85='FNC-ORD_prospetto riassuntivo'!$B$24+'FNC-ORD_prospetto riassuntivo'!$B$27),1,0))</f>
        <v>1</v>
      </c>
    </row>
    <row r="86" spans="10:17" x14ac:dyDescent="0.25">
      <c r="J86" s="45">
        <f>IF(J85=0,0,IF('FNC-ORD_prospetto riassuntivo'!$B$24+'FNC-ORD_prospetto riassuntivo'!$B$27&gt;J85,J85+1,0))</f>
        <v>84</v>
      </c>
      <c r="K86" s="46">
        <f>O85*'FNC-ORD_prospetto riassuntivo'!$B$29*Q86</f>
        <v>72.160449400097178</v>
      </c>
      <c r="L86" s="46">
        <f t="shared" si="7"/>
        <v>2631.2427292526586</v>
      </c>
      <c r="M86" s="46">
        <f t="shared" si="8"/>
        <v>2703.4031786527557</v>
      </c>
      <c r="N86" s="47">
        <f t="shared" si="9"/>
        <v>202994.22701720602</v>
      </c>
      <c r="O86" s="46">
        <f>('FNC-ORD_prospetto riassuntivo'!$B$13-N86)*Q86</f>
        <v>32005.772982793977</v>
      </c>
      <c r="P86" s="46">
        <f>K86/(1+SUM('FNC-ORD_prospetto riassuntivo'!$B$30:$B$31)/'FNC-ORD_prospetto riassuntivo'!$B$25)^J86</f>
        <v>55.678425109503003</v>
      </c>
      <c r="Q86">
        <f>IF(J86=0,0,IF(OR(J86&lt;'FNC-ORD_prospetto riassuntivo'!$B$24+'FNC-ORD_prospetto riassuntivo'!$B$27,J86='FNC-ORD_prospetto riassuntivo'!$B$24+'FNC-ORD_prospetto riassuntivo'!$B$27),1,0))</f>
        <v>1</v>
      </c>
    </row>
    <row r="87" spans="10:17" x14ac:dyDescent="0.25">
      <c r="J87" s="45">
        <f>IF(J86=0,0,IF('FNC-ORD_prospetto riassuntivo'!$B$24+'FNC-ORD_prospetto riassuntivo'!$B$27&gt;J86,J86+1,0))</f>
        <v>85</v>
      </c>
      <c r="K87" s="46">
        <f>O86*'FNC-ORD_prospetto riassuntivo'!$B$29*Q87</f>
        <v>66.678693714154122</v>
      </c>
      <c r="L87" s="46">
        <f t="shared" si="7"/>
        <v>2636.7244849386016</v>
      </c>
      <c r="M87" s="46">
        <f t="shared" si="8"/>
        <v>2703.4031786527557</v>
      </c>
      <c r="N87" s="47">
        <f t="shared" si="9"/>
        <v>205630.95150214463</v>
      </c>
      <c r="O87" s="46">
        <f>('FNC-ORD_prospetto riassuntivo'!$B$13-N87)*Q87</f>
        <v>29369.048497855372</v>
      </c>
      <c r="P87" s="46">
        <f>K87/(1+SUM('FNC-ORD_prospetto riassuntivo'!$B$30:$B$31)/'FNC-ORD_prospetto riassuntivo'!$B$25)^J87</f>
        <v>51.290174182081522</v>
      </c>
      <c r="Q87">
        <f>IF(J87=0,0,IF(OR(J87&lt;'FNC-ORD_prospetto riassuntivo'!$B$24+'FNC-ORD_prospetto riassuntivo'!$B$27,J87='FNC-ORD_prospetto riassuntivo'!$B$24+'FNC-ORD_prospetto riassuntivo'!$B$27),1,0))</f>
        <v>1</v>
      </c>
    </row>
    <row r="88" spans="10:17" x14ac:dyDescent="0.25">
      <c r="J88" s="45">
        <f>IF(J87=0,0,IF('FNC-ORD_prospetto riassuntivo'!$B$24+'FNC-ORD_prospetto riassuntivo'!$B$27&gt;J87,J87+1,0))</f>
        <v>86</v>
      </c>
      <c r="K88" s="46">
        <f>O87*'FNC-ORD_prospetto riassuntivo'!$B$29*Q88</f>
        <v>61.185517703865358</v>
      </c>
      <c r="L88" s="46">
        <f t="shared" si="7"/>
        <v>2642.2176609488902</v>
      </c>
      <c r="M88" s="46">
        <f t="shared" si="8"/>
        <v>2703.4031786527557</v>
      </c>
      <c r="N88" s="47">
        <f t="shared" si="9"/>
        <v>208273.16916309352</v>
      </c>
      <c r="O88" s="46">
        <f>('FNC-ORD_prospetto riassuntivo'!$B$13-N88)*Q88</f>
        <v>26726.830836906476</v>
      </c>
      <c r="P88" s="46">
        <f>K88/(1+SUM('FNC-ORD_prospetto riassuntivo'!$B$30:$B$31)/'FNC-ORD_prospetto riassuntivo'!$B$25)^J88</f>
        <v>46.919687124851251</v>
      </c>
      <c r="Q88">
        <f>IF(J88=0,0,IF(OR(J88&lt;'FNC-ORD_prospetto riassuntivo'!$B$24+'FNC-ORD_prospetto riassuntivo'!$B$27,J88='FNC-ORD_prospetto riassuntivo'!$B$24+'FNC-ORD_prospetto riassuntivo'!$B$27),1,0))</f>
        <v>1</v>
      </c>
    </row>
    <row r="89" spans="10:17" x14ac:dyDescent="0.25">
      <c r="J89" s="45">
        <f>IF(J88=0,0,IF('FNC-ORD_prospetto riassuntivo'!$B$24+'FNC-ORD_prospetto riassuntivo'!$B$27&gt;J88,J88+1,0))</f>
        <v>87</v>
      </c>
      <c r="K89" s="46">
        <f>O88*'FNC-ORD_prospetto riassuntivo'!$B$29*Q89</f>
        <v>55.680897576888491</v>
      </c>
      <c r="L89" s="46">
        <f t="shared" si="7"/>
        <v>2647.7222810758672</v>
      </c>
      <c r="M89" s="46">
        <f t="shared" si="8"/>
        <v>2703.4031786527557</v>
      </c>
      <c r="N89" s="47">
        <f t="shared" si="9"/>
        <v>210920.89144416939</v>
      </c>
      <c r="O89" s="46">
        <f>('FNC-ORD_prospetto riassuntivo'!$B$13-N89)*Q89</f>
        <v>24079.108555830608</v>
      </c>
      <c r="P89" s="46">
        <f>K89/(1+SUM('FNC-ORD_prospetto riassuntivo'!$B$30:$B$31)/'FNC-ORD_prospetto riassuntivo'!$B$25)^J89</f>
        <v>42.566904926291976</v>
      </c>
      <c r="Q89">
        <f>IF(J89=0,0,IF(OR(J89&lt;'FNC-ORD_prospetto riassuntivo'!$B$24+'FNC-ORD_prospetto riassuntivo'!$B$27,J89='FNC-ORD_prospetto riassuntivo'!$B$24+'FNC-ORD_prospetto riassuntivo'!$B$27),1,0))</f>
        <v>1</v>
      </c>
    </row>
    <row r="90" spans="10:17" x14ac:dyDescent="0.25">
      <c r="J90" s="45">
        <f>IF(J89=0,0,IF('FNC-ORD_prospetto riassuntivo'!$B$24+'FNC-ORD_prospetto riassuntivo'!$B$27&gt;J89,J89+1,0))</f>
        <v>88</v>
      </c>
      <c r="K90" s="46">
        <f>O89*'FNC-ORD_prospetto riassuntivo'!$B$29*Q90</f>
        <v>50.164809491313768</v>
      </c>
      <c r="L90" s="46">
        <f t="shared" si="7"/>
        <v>2653.2383691614418</v>
      </c>
      <c r="M90" s="46">
        <f t="shared" si="8"/>
        <v>2703.4031786527557</v>
      </c>
      <c r="N90" s="47">
        <f t="shared" si="9"/>
        <v>213574.12981333083</v>
      </c>
      <c r="O90" s="46">
        <f>('FNC-ORD_prospetto riassuntivo'!$B$13-N90)*Q90</f>
        <v>21425.87018666917</v>
      </c>
      <c r="P90" s="46">
        <f>K90/(1+SUM('FNC-ORD_prospetto riassuntivo'!$B$30:$B$31)/'FNC-ORD_prospetto riassuntivo'!$B$25)^J90</f>
        <v>38.231768761048301</v>
      </c>
      <c r="Q90">
        <f>IF(J90=0,0,IF(OR(J90&lt;'FNC-ORD_prospetto riassuntivo'!$B$24+'FNC-ORD_prospetto riassuntivo'!$B$27,J90='FNC-ORD_prospetto riassuntivo'!$B$24+'FNC-ORD_prospetto riassuntivo'!$B$27),1,0))</f>
        <v>1</v>
      </c>
    </row>
    <row r="91" spans="10:17" x14ac:dyDescent="0.25">
      <c r="J91" s="45">
        <f>IF(J90=0,0,IF('FNC-ORD_prospetto riassuntivo'!$B$24+'FNC-ORD_prospetto riassuntivo'!$B$27&gt;J90,J90+1,0))</f>
        <v>89</v>
      </c>
      <c r="K91" s="46">
        <f>O90*'FNC-ORD_prospetto riassuntivo'!$B$29*Q91</f>
        <v>44.637229555560772</v>
      </c>
      <c r="L91" s="46">
        <f t="shared" si="7"/>
        <v>2658.7659490971951</v>
      </c>
      <c r="M91" s="46">
        <f t="shared" si="8"/>
        <v>2703.4031786527557</v>
      </c>
      <c r="N91" s="47">
        <f t="shared" si="9"/>
        <v>216232.89576242803</v>
      </c>
      <c r="O91" s="46">
        <f>('FNC-ORD_prospetto riassuntivo'!$B$13-N91)*Q91</f>
        <v>18767.10423757197</v>
      </c>
      <c r="P91" s="46">
        <f>K91/(1+SUM('FNC-ORD_prospetto riassuntivo'!$B$30:$B$31)/'FNC-ORD_prospetto riassuntivo'!$B$25)^J91</f>
        <v>33.914219989351416</v>
      </c>
      <c r="Q91">
        <f>IF(J91=0,0,IF(OR(J91&lt;'FNC-ORD_prospetto riassuntivo'!$B$24+'FNC-ORD_prospetto riassuntivo'!$B$27,J91='FNC-ORD_prospetto riassuntivo'!$B$24+'FNC-ORD_prospetto riassuntivo'!$B$27),1,0))</f>
        <v>1</v>
      </c>
    </row>
    <row r="92" spans="10:17" x14ac:dyDescent="0.25">
      <c r="J92" s="45">
        <f>IF(J91=0,0,IF('FNC-ORD_prospetto riassuntivo'!$B$24+'FNC-ORD_prospetto riassuntivo'!$B$27&gt;J91,J91+1,0))</f>
        <v>90</v>
      </c>
      <c r="K92" s="46">
        <f>O91*'FNC-ORD_prospetto riassuntivo'!$B$29*Q92</f>
        <v>39.098133828274939</v>
      </c>
      <c r="L92" s="46">
        <f t="shared" si="7"/>
        <v>2664.3050448244808</v>
      </c>
      <c r="M92" s="46">
        <f t="shared" si="8"/>
        <v>2703.4031786527557</v>
      </c>
      <c r="N92" s="47">
        <f t="shared" si="9"/>
        <v>218897.20080725252</v>
      </c>
      <c r="O92" s="46">
        <f>('FNC-ORD_prospetto riassuntivo'!$B$13-N92)*Q92</f>
        <v>16102.79919274748</v>
      </c>
      <c r="P92" s="46">
        <f>K92/(1+SUM('FNC-ORD_prospetto riassuntivo'!$B$30:$B$31)/'FNC-ORD_prospetto riassuntivo'!$B$25)^J92</f>
        <v>29.614200156442809</v>
      </c>
      <c r="Q92">
        <f>IF(J92=0,0,IF(OR(J92&lt;'FNC-ORD_prospetto riassuntivo'!$B$24+'FNC-ORD_prospetto riassuntivo'!$B$27,J92='FNC-ORD_prospetto riassuntivo'!$B$24+'FNC-ORD_prospetto riassuntivo'!$B$27),1,0))</f>
        <v>1</v>
      </c>
    </row>
    <row r="93" spans="10:17" x14ac:dyDescent="0.25">
      <c r="J93" s="45">
        <f>IF(J92=0,0,IF('FNC-ORD_prospetto riassuntivo'!$B$24+'FNC-ORD_prospetto riassuntivo'!$B$27&gt;J92,J92+1,0))</f>
        <v>91</v>
      </c>
      <c r="K93" s="46">
        <f>O92*'FNC-ORD_prospetto riassuntivo'!$B$29*Q93</f>
        <v>33.547498318223916</v>
      </c>
      <c r="L93" s="46">
        <f t="shared" si="7"/>
        <v>2669.8556803345318</v>
      </c>
      <c r="M93" s="46">
        <f t="shared" si="8"/>
        <v>2703.4031786527557</v>
      </c>
      <c r="N93" s="47">
        <f t="shared" si="9"/>
        <v>221567.05648758705</v>
      </c>
      <c r="O93" s="46">
        <f>('FNC-ORD_prospetto riassuntivo'!$B$13-N93)*Q93</f>
        <v>13432.943512412952</v>
      </c>
      <c r="P93" s="46">
        <f>K93/(1+SUM('FNC-ORD_prospetto riassuntivo'!$B$30:$B$31)/'FNC-ORD_prospetto riassuntivo'!$B$25)^J93</f>
        <v>25.331650991999833</v>
      </c>
      <c r="Q93">
        <f>IF(J93=0,0,IF(OR(J93&lt;'FNC-ORD_prospetto riassuntivo'!$B$24+'FNC-ORD_prospetto riassuntivo'!$B$27,J93='FNC-ORD_prospetto riassuntivo'!$B$24+'FNC-ORD_prospetto riassuntivo'!$B$27),1,0))</f>
        <v>1</v>
      </c>
    </row>
    <row r="94" spans="10:17" x14ac:dyDescent="0.25">
      <c r="J94" s="45">
        <f>IF(J93=0,0,IF('FNC-ORD_prospetto riassuntivo'!$B$24+'FNC-ORD_prospetto riassuntivo'!$B$27&gt;J93,J93+1,0))</f>
        <v>92</v>
      </c>
      <c r="K94" s="46">
        <f>O93*'FNC-ORD_prospetto riassuntivo'!$B$29*Q94</f>
        <v>27.985298984193651</v>
      </c>
      <c r="L94" s="46">
        <f t="shared" si="7"/>
        <v>2675.4178796685619</v>
      </c>
      <c r="M94" s="46">
        <f t="shared" si="8"/>
        <v>2703.4031786527557</v>
      </c>
      <c r="N94" s="47">
        <f t="shared" si="9"/>
        <v>224242.47436725561</v>
      </c>
      <c r="O94" s="46">
        <f>('FNC-ORD_prospetto riassuntivo'!$B$13-N94)*Q94</f>
        <v>10757.525632744393</v>
      </c>
      <c r="P94" s="46">
        <f>K94/(1+SUM('FNC-ORD_prospetto riassuntivo'!$B$30:$B$31)/'FNC-ORD_prospetto riassuntivo'!$B$25)^J94</f>
        <v>21.066514409562888</v>
      </c>
      <c r="Q94">
        <f>IF(J94=0,0,IF(OR(J94&lt;'FNC-ORD_prospetto riassuntivo'!$B$24+'FNC-ORD_prospetto riassuntivo'!$B$27,J94='FNC-ORD_prospetto riassuntivo'!$B$24+'FNC-ORD_prospetto riassuntivo'!$B$27),1,0))</f>
        <v>1</v>
      </c>
    </row>
    <row r="95" spans="10:17" x14ac:dyDescent="0.25">
      <c r="J95" s="45">
        <f>IF(J94=0,0,IF('FNC-ORD_prospetto riassuntivo'!$B$24+'FNC-ORD_prospetto riassuntivo'!$B$27&gt;J94,J94+1,0))</f>
        <v>93</v>
      </c>
      <c r="K95" s="46">
        <f>O94*'FNC-ORD_prospetto riassuntivo'!$B$29*Q95</f>
        <v>22.411511734884151</v>
      </c>
      <c r="L95" s="46">
        <f t="shared" si="7"/>
        <v>2680.9916669178715</v>
      </c>
      <c r="M95" s="46">
        <f t="shared" si="8"/>
        <v>2703.4031786527557</v>
      </c>
      <c r="N95" s="47">
        <f t="shared" si="9"/>
        <v>226923.46603417347</v>
      </c>
      <c r="O95" s="46">
        <f>('FNC-ORD_prospetto riassuntivo'!$B$13-N95)*Q95</f>
        <v>8076.5339658265293</v>
      </c>
      <c r="P95" s="46">
        <f>K95/(1+SUM('FNC-ORD_prospetto riassuntivo'!$B$30:$B$31)/'FNC-ORD_prospetto riassuntivo'!$B$25)^J95</f>
        <v>16.818732505964405</v>
      </c>
      <c r="Q95">
        <f>IF(J95=0,0,IF(OR(J95&lt;'FNC-ORD_prospetto riassuntivo'!$B$24+'FNC-ORD_prospetto riassuntivo'!$B$27,J95='FNC-ORD_prospetto riassuntivo'!$B$24+'FNC-ORD_prospetto riassuntivo'!$B$27),1,0))</f>
        <v>1</v>
      </c>
    </row>
    <row r="96" spans="10:17" x14ac:dyDescent="0.25">
      <c r="J96" s="45">
        <f>IF(J95=0,0,IF('FNC-ORD_prospetto riassuntivo'!$B$24+'FNC-ORD_prospetto riassuntivo'!$B$27&gt;J95,J95+1,0))</f>
        <v>94</v>
      </c>
      <c r="K96" s="46">
        <f>O95*'FNC-ORD_prospetto riassuntivo'!$B$29*Q96</f>
        <v>16.826112428805271</v>
      </c>
      <c r="L96" s="46">
        <f t="shared" si="7"/>
        <v>2686.5770662239506</v>
      </c>
      <c r="M96" s="46">
        <f t="shared" si="8"/>
        <v>2703.4031786527557</v>
      </c>
      <c r="N96" s="47">
        <f t="shared" si="9"/>
        <v>229610.04310039742</v>
      </c>
      <c r="O96" s="46">
        <f>('FNC-ORD_prospetto riassuntivo'!$B$13-N96)*Q96</f>
        <v>5389.9568996025773</v>
      </c>
      <c r="P96" s="46">
        <f>K96/(1+SUM('FNC-ORD_prospetto riassuntivo'!$B$30:$B$31)/'FNC-ORD_prospetto riassuntivo'!$B$25)^J96</f>
        <v>12.588247560759724</v>
      </c>
      <c r="Q96">
        <f>IF(J96=0,0,IF(OR(J96&lt;'FNC-ORD_prospetto riassuntivo'!$B$24+'FNC-ORD_prospetto riassuntivo'!$B$27,J96='FNC-ORD_prospetto riassuntivo'!$B$24+'FNC-ORD_prospetto riassuntivo'!$B$27),1,0))</f>
        <v>1</v>
      </c>
    </row>
    <row r="97" spans="10:17" x14ac:dyDescent="0.25">
      <c r="J97" s="45">
        <f>IF(J96=0,0,IF('FNC-ORD_prospetto riassuntivo'!$B$24+'FNC-ORD_prospetto riassuntivo'!$B$27&gt;J96,J96+1,0))</f>
        <v>95</v>
      </c>
      <c r="K97" s="46">
        <f>O96*'FNC-ORD_prospetto riassuntivo'!$B$29*Q97</f>
        <v>11.229076874172035</v>
      </c>
      <c r="L97" s="46">
        <f t="shared" si="7"/>
        <v>2692.1741017785839</v>
      </c>
      <c r="M97" s="46">
        <f t="shared" si="8"/>
        <v>2703.4031786527557</v>
      </c>
      <c r="N97" s="47">
        <f t="shared" si="9"/>
        <v>232302.21720217602</v>
      </c>
      <c r="O97" s="46">
        <f>('FNC-ORD_prospetto riassuntivo'!$B$13-N97)*Q97</f>
        <v>2697.7827978239802</v>
      </c>
      <c r="P97" s="46">
        <f>K97/(1+SUM('FNC-ORD_prospetto riassuntivo'!$B$30:$B$31)/'FNC-ORD_prospetto riassuntivo'!$B$25)^J97</f>
        <v>8.3750020356595183</v>
      </c>
      <c r="Q97">
        <f>IF(J97=0,0,IF(OR(J97&lt;'FNC-ORD_prospetto riassuntivo'!$B$24+'FNC-ORD_prospetto riassuntivo'!$B$27,J97='FNC-ORD_prospetto riassuntivo'!$B$24+'FNC-ORD_prospetto riassuntivo'!$B$27),1,0))</f>
        <v>1</v>
      </c>
    </row>
    <row r="98" spans="10:17" x14ac:dyDescent="0.25">
      <c r="J98" s="45">
        <f>IF(J97=0,0,IF('FNC-ORD_prospetto riassuntivo'!$B$24+'FNC-ORD_prospetto riassuntivo'!$B$27&gt;J97,J97+1,0))</f>
        <v>96</v>
      </c>
      <c r="K98" s="46">
        <f>O97*'FNC-ORD_prospetto riassuntivo'!$B$29*Q98</f>
        <v>5.6203808287999584</v>
      </c>
      <c r="L98" s="46">
        <f t="shared" si="7"/>
        <v>2697.7827978239557</v>
      </c>
      <c r="M98" s="46">
        <f t="shared" si="8"/>
        <v>2703.4031786527557</v>
      </c>
      <c r="N98" s="47">
        <f t="shared" si="9"/>
        <v>234999.99999999997</v>
      </c>
      <c r="O98" s="46">
        <f>('FNC-ORD_prospetto riassuntivo'!$B$13-N98)*Q98</f>
        <v>2.9103830456733704E-11</v>
      </c>
      <c r="P98" s="46">
        <f>K98/(1+SUM('FNC-ORD_prospetto riassuntivo'!$B$30:$B$31)/'FNC-ORD_prospetto riassuntivo'!$B$25)^J98</f>
        <v>4.1789385739642242</v>
      </c>
      <c r="Q98">
        <f>IF(J98=0,0,IF(OR(J98&lt;'FNC-ORD_prospetto riassuntivo'!$B$24+'FNC-ORD_prospetto riassuntivo'!$B$27,J98='FNC-ORD_prospetto riassuntivo'!$B$24+'FNC-ORD_prospetto riassuntivo'!$B$27),1,0))</f>
        <v>1</v>
      </c>
    </row>
  </sheetData>
  <sheetProtection algorithmName="SHA-512" hashValue="BrwuKiKoF9ysC5rMKeeUTcazmLRITvaMx10MVqefleBP/+WflKjMWgGXi11DDa2XXLHhwky3omg8Nn+TYKsCAw==" saltValue="98k/oxqTzoDG0tUhm9oQFw==" spinCount="100000" sheet="1" objects="1" scenarios="1"/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workbookViewId="0">
      <selection activeCell="B12" sqref="B12"/>
    </sheetView>
  </sheetViews>
  <sheetFormatPr defaultRowHeight="13.2" x14ac:dyDescent="0.25"/>
  <cols>
    <col min="1" max="1" width="38.33203125" bestFit="1" customWidth="1"/>
    <col min="2" max="2" width="19" bestFit="1" customWidth="1"/>
    <col min="3" max="3" width="11.109375" bestFit="1" customWidth="1"/>
    <col min="4" max="4" width="15.6640625" bestFit="1" customWidth="1"/>
    <col min="5" max="5" width="12.109375" bestFit="1" customWidth="1"/>
  </cols>
  <sheetData>
    <row r="1" spans="1:8" ht="22.2" thickTop="1" thickBot="1" x14ac:dyDescent="0.45">
      <c r="A1" s="8"/>
      <c r="B1" s="9"/>
      <c r="C1" s="10" t="s">
        <v>26</v>
      </c>
      <c r="D1" s="34">
        <f>B85</f>
        <v>9314.0879198391922</v>
      </c>
      <c r="E1" s="11"/>
      <c r="F1" s="11"/>
      <c r="G1" s="12"/>
      <c r="H1" s="12"/>
    </row>
    <row r="2" spans="1:8" ht="13.8" thickTop="1" x14ac:dyDescent="0.25">
      <c r="A2" s="13"/>
      <c r="B2" s="14"/>
      <c r="C2" s="14"/>
      <c r="D2" s="14"/>
      <c r="E2" s="14"/>
      <c r="F2" s="11"/>
      <c r="G2" s="12"/>
      <c r="H2" s="12"/>
    </row>
    <row r="3" spans="1:8" x14ac:dyDescent="0.25">
      <c r="A3" s="15"/>
      <c r="B3" s="11"/>
      <c r="C3" s="11"/>
      <c r="D3" s="11"/>
      <c r="E3" s="11"/>
      <c r="F3" s="11"/>
      <c r="G3" s="12"/>
      <c r="H3" s="12"/>
    </row>
    <row r="4" spans="1:8" x14ac:dyDescent="0.25">
      <c r="A4" s="16" t="s">
        <v>27</v>
      </c>
      <c r="B4" s="36">
        <f>'FNC-ORD_prospetto riassuntivo'!B36</f>
        <v>1.2699999999999999E-2</v>
      </c>
      <c r="C4" s="12"/>
      <c r="D4" s="12"/>
      <c r="E4" s="12"/>
      <c r="F4" s="17"/>
      <c r="G4" s="12"/>
      <c r="H4" s="12"/>
    </row>
    <row r="5" spans="1:8" x14ac:dyDescent="0.25">
      <c r="A5" s="16" t="s">
        <v>28</v>
      </c>
      <c r="B5" s="41">
        <v>6.0000000000000001E-3</v>
      </c>
      <c r="C5" s="12"/>
      <c r="D5" s="12"/>
      <c r="E5" s="12"/>
      <c r="F5" s="12"/>
      <c r="G5" s="12"/>
      <c r="H5" s="12"/>
    </row>
    <row r="6" spans="1:8" x14ac:dyDescent="0.25">
      <c r="A6" s="16" t="s">
        <v>29</v>
      </c>
      <c r="B6" s="41">
        <v>3.2000000000000002E-3</v>
      </c>
      <c r="C6" s="12"/>
      <c r="D6" s="18"/>
      <c r="E6" s="12"/>
      <c r="F6" s="12"/>
      <c r="G6" s="12"/>
      <c r="H6" s="12"/>
    </row>
    <row r="7" spans="1:8" x14ac:dyDescent="0.25">
      <c r="A7" s="16" t="s">
        <v>30</v>
      </c>
      <c r="B7" s="37">
        <v>0</v>
      </c>
      <c r="C7" s="12"/>
      <c r="D7" s="18"/>
      <c r="E7" s="12"/>
      <c r="F7" s="12"/>
      <c r="G7" s="12"/>
      <c r="H7" s="12"/>
    </row>
    <row r="8" spans="1:8" x14ac:dyDescent="0.25">
      <c r="A8" s="16" t="s">
        <v>31</v>
      </c>
      <c r="B8" s="38">
        <f>'FNC-ORD_prospetto riassuntivo'!B13</f>
        <v>235000</v>
      </c>
      <c r="C8" s="12"/>
      <c r="D8" s="12"/>
      <c r="E8" s="19"/>
      <c r="F8" s="12"/>
      <c r="G8" s="12"/>
      <c r="H8" s="12"/>
    </row>
    <row r="9" spans="1:8" x14ac:dyDescent="0.25">
      <c r="A9" s="16" t="s">
        <v>32</v>
      </c>
      <c r="B9" s="36">
        <f>IF('FNC-ORD_prospetto riassuntivo'!B19="NO",70%*'FNC-ORD_prospetto riassuntivo'!B14,10%*'FNC-ORD_prospetto riassuntivo'!B14)</f>
        <v>0.42</v>
      </c>
      <c r="C9" s="12"/>
      <c r="D9" s="12"/>
      <c r="E9" s="12"/>
      <c r="F9" s="12"/>
      <c r="G9" s="12"/>
      <c r="H9" s="12"/>
    </row>
    <row r="10" spans="1:8" x14ac:dyDescent="0.25">
      <c r="A10" s="16" t="s">
        <v>33</v>
      </c>
      <c r="B10" s="42">
        <f>+B8*B9</f>
        <v>98700</v>
      </c>
      <c r="C10" s="12"/>
      <c r="D10" s="12"/>
      <c r="E10" s="12"/>
      <c r="F10" s="12"/>
      <c r="G10" s="12"/>
      <c r="H10" s="12"/>
    </row>
    <row r="11" spans="1:8" x14ac:dyDescent="0.25">
      <c r="A11" s="16" t="s">
        <v>34</v>
      </c>
      <c r="B11" s="39">
        <f>ROUNDUP('FNC-ORD_prospetto riassuntivo'!B18/12,0)</f>
        <v>8</v>
      </c>
      <c r="C11" s="12"/>
      <c r="D11" s="12"/>
      <c r="E11" s="12"/>
      <c r="F11" s="12"/>
      <c r="G11" s="12"/>
      <c r="H11" s="12"/>
    </row>
    <row r="12" spans="1:8" x14ac:dyDescent="0.25">
      <c r="A12" s="16" t="s">
        <v>35</v>
      </c>
      <c r="B12" s="40">
        <f>'FNC-ORD_prospetto riassuntivo'!B30+1%</f>
        <v>3.7100000000000001E-2</v>
      </c>
      <c r="C12" s="12"/>
      <c r="D12" s="12"/>
      <c r="E12" s="12"/>
      <c r="F12" s="12"/>
      <c r="G12" s="12"/>
      <c r="H12" s="12"/>
    </row>
    <row r="13" spans="1:8" x14ac:dyDescent="0.25">
      <c r="A13" s="16"/>
      <c r="B13" s="12"/>
      <c r="C13" s="12"/>
      <c r="D13" s="12"/>
      <c r="E13" s="12"/>
      <c r="F13" s="12"/>
      <c r="G13" s="12"/>
      <c r="H13" s="12"/>
    </row>
    <row r="14" spans="1:8" x14ac:dyDescent="0.25">
      <c r="A14" s="20" t="s">
        <v>36</v>
      </c>
      <c r="B14" s="21">
        <f>-PMT(B12,B11,B8)</f>
        <v>34487.282631740134</v>
      </c>
      <c r="C14" s="11"/>
      <c r="D14" s="22"/>
      <c r="E14" s="11"/>
      <c r="F14" s="11"/>
      <c r="G14" s="12"/>
      <c r="H14" s="12"/>
    </row>
    <row r="15" spans="1:8" x14ac:dyDescent="0.25">
      <c r="A15" s="20" t="s">
        <v>37</v>
      </c>
      <c r="B15" s="16" t="s">
        <v>38</v>
      </c>
      <c r="C15" s="23" t="s">
        <v>39</v>
      </c>
      <c r="D15" s="24" t="s">
        <v>40</v>
      </c>
      <c r="E15" s="11" t="s">
        <v>41</v>
      </c>
      <c r="F15" s="12"/>
      <c r="G15" s="12"/>
      <c r="H15" s="12"/>
    </row>
    <row r="16" spans="1:8" x14ac:dyDescent="0.25">
      <c r="A16" s="16">
        <v>1</v>
      </c>
      <c r="B16" s="25">
        <f>B8</f>
        <v>235000</v>
      </c>
      <c r="C16" s="19">
        <f t="shared" ref="C16:C45" si="0">B$12*B16</f>
        <v>8718.5</v>
      </c>
      <c r="D16" s="26">
        <f t="shared" ref="D16:D45" si="1">E16-C16</f>
        <v>25768.782631740134</v>
      </c>
      <c r="E16" s="27">
        <f t="shared" ref="E16:E45" si="2">IF(B$11&gt;=A16,B$14,IF(B$11&lt;A16,0))</f>
        <v>34487.282631740134</v>
      </c>
      <c r="F16" s="12"/>
      <c r="G16" s="27"/>
      <c r="H16" s="12"/>
    </row>
    <row r="17" spans="1:8" x14ac:dyDescent="0.25">
      <c r="A17" s="16">
        <v>2</v>
      </c>
      <c r="B17" s="25">
        <f t="shared" ref="B17:B46" si="3">B16-D16</f>
        <v>209231.21736825985</v>
      </c>
      <c r="C17" s="19">
        <f t="shared" si="0"/>
        <v>7762.478164362441</v>
      </c>
      <c r="D17" s="26">
        <f t="shared" si="1"/>
        <v>26724.804467377693</v>
      </c>
      <c r="E17" s="27">
        <f t="shared" si="2"/>
        <v>34487.282631740134</v>
      </c>
      <c r="F17" s="12"/>
      <c r="G17" s="27"/>
      <c r="H17" s="12"/>
    </row>
    <row r="18" spans="1:8" x14ac:dyDescent="0.25">
      <c r="A18" s="16">
        <v>3</v>
      </c>
      <c r="B18" s="25">
        <f t="shared" si="3"/>
        <v>182506.41290088216</v>
      </c>
      <c r="C18" s="19">
        <f t="shared" si="0"/>
        <v>6770.9879186227281</v>
      </c>
      <c r="D18" s="26">
        <f t="shared" si="1"/>
        <v>27716.294713117408</v>
      </c>
      <c r="E18" s="27">
        <f t="shared" si="2"/>
        <v>34487.282631740134</v>
      </c>
      <c r="F18" s="12"/>
      <c r="G18" s="27"/>
      <c r="H18" s="12"/>
    </row>
    <row r="19" spans="1:8" x14ac:dyDescent="0.25">
      <c r="A19" s="16">
        <v>4</v>
      </c>
      <c r="B19" s="25">
        <f t="shared" si="3"/>
        <v>154790.11818776475</v>
      </c>
      <c r="C19" s="19">
        <f t="shared" si="0"/>
        <v>5742.7133847660725</v>
      </c>
      <c r="D19" s="26">
        <f t="shared" si="1"/>
        <v>28744.569246974061</v>
      </c>
      <c r="E19" s="27">
        <f t="shared" si="2"/>
        <v>34487.282631740134</v>
      </c>
      <c r="F19" s="12"/>
      <c r="G19" s="27"/>
      <c r="H19" s="12"/>
    </row>
    <row r="20" spans="1:8" x14ac:dyDescent="0.25">
      <c r="A20" s="16">
        <v>5</v>
      </c>
      <c r="B20" s="25">
        <f t="shared" si="3"/>
        <v>126045.54894079069</v>
      </c>
      <c r="C20" s="19">
        <f t="shared" si="0"/>
        <v>4676.2898657033347</v>
      </c>
      <c r="D20" s="26">
        <f t="shared" si="1"/>
        <v>29810.992766036798</v>
      </c>
      <c r="E20" s="27">
        <f t="shared" si="2"/>
        <v>34487.282631740134</v>
      </c>
      <c r="F20" s="12"/>
      <c r="G20" s="27"/>
      <c r="H20" s="12"/>
    </row>
    <row r="21" spans="1:8" x14ac:dyDescent="0.25">
      <c r="A21" s="16">
        <v>6</v>
      </c>
      <c r="B21" s="25">
        <f t="shared" si="3"/>
        <v>96234.556174753889</v>
      </c>
      <c r="C21" s="19">
        <f t="shared" si="0"/>
        <v>3570.3020340833696</v>
      </c>
      <c r="D21" s="26">
        <f t="shared" si="1"/>
        <v>30916.980597656766</v>
      </c>
      <c r="E21" s="27">
        <f t="shared" si="2"/>
        <v>34487.282631740134</v>
      </c>
      <c r="F21" s="12"/>
      <c r="G21" s="27"/>
      <c r="H21" s="12"/>
    </row>
    <row r="22" spans="1:8" x14ac:dyDescent="0.25">
      <c r="A22" s="16">
        <v>7</v>
      </c>
      <c r="B22" s="25">
        <f t="shared" si="3"/>
        <v>65317.575577097123</v>
      </c>
      <c r="C22" s="19">
        <f t="shared" si="0"/>
        <v>2423.2820539103031</v>
      </c>
      <c r="D22" s="26">
        <f t="shared" si="1"/>
        <v>32064.000577829829</v>
      </c>
      <c r="E22" s="27">
        <f t="shared" si="2"/>
        <v>34487.282631740134</v>
      </c>
      <c r="F22" s="27"/>
      <c r="G22" s="12"/>
      <c r="H22" s="12"/>
    </row>
    <row r="23" spans="1:8" x14ac:dyDescent="0.25">
      <c r="A23" s="16">
        <v>8</v>
      </c>
      <c r="B23" s="25">
        <f t="shared" si="3"/>
        <v>33253.574999267294</v>
      </c>
      <c r="C23" s="19">
        <f t="shared" si="0"/>
        <v>1233.7076324728166</v>
      </c>
      <c r="D23" s="26">
        <f t="shared" si="1"/>
        <v>33253.574999267315</v>
      </c>
      <c r="E23" s="27">
        <f t="shared" si="2"/>
        <v>34487.282631740134</v>
      </c>
      <c r="F23" s="12"/>
      <c r="G23" s="12"/>
      <c r="H23" s="12"/>
    </row>
    <row r="24" spans="1:8" x14ac:dyDescent="0.25">
      <c r="A24" s="16">
        <v>9</v>
      </c>
      <c r="B24" s="25">
        <f t="shared" si="3"/>
        <v>0</v>
      </c>
      <c r="C24" s="19">
        <f t="shared" si="0"/>
        <v>0</v>
      </c>
      <c r="D24" s="26">
        <f t="shared" si="1"/>
        <v>0</v>
      </c>
      <c r="E24" s="27">
        <f t="shared" si="2"/>
        <v>0</v>
      </c>
      <c r="F24" s="12"/>
      <c r="G24" s="12"/>
      <c r="H24" s="12"/>
    </row>
    <row r="25" spans="1:8" x14ac:dyDescent="0.25">
      <c r="A25" s="16">
        <v>10</v>
      </c>
      <c r="B25" s="25">
        <f t="shared" si="3"/>
        <v>0</v>
      </c>
      <c r="C25" s="19">
        <f t="shared" si="0"/>
        <v>0</v>
      </c>
      <c r="D25" s="26">
        <f t="shared" si="1"/>
        <v>0</v>
      </c>
      <c r="E25" s="27">
        <f t="shared" si="2"/>
        <v>0</v>
      </c>
      <c r="F25" s="12"/>
      <c r="G25" s="12"/>
      <c r="H25" s="12"/>
    </row>
    <row r="26" spans="1:8" x14ac:dyDescent="0.25">
      <c r="A26" s="16">
        <v>11</v>
      </c>
      <c r="B26" s="25">
        <f t="shared" si="3"/>
        <v>0</v>
      </c>
      <c r="C26" s="19">
        <f t="shared" si="0"/>
        <v>0</v>
      </c>
      <c r="D26" s="26">
        <f t="shared" si="1"/>
        <v>0</v>
      </c>
      <c r="E26" s="27">
        <f t="shared" si="2"/>
        <v>0</v>
      </c>
      <c r="F26" s="12"/>
      <c r="G26" s="12"/>
      <c r="H26" s="12"/>
    </row>
    <row r="27" spans="1:8" x14ac:dyDescent="0.25">
      <c r="A27" s="16">
        <v>12</v>
      </c>
      <c r="B27" s="25">
        <f t="shared" si="3"/>
        <v>0</v>
      </c>
      <c r="C27" s="19">
        <f t="shared" si="0"/>
        <v>0</v>
      </c>
      <c r="D27" s="26">
        <f t="shared" si="1"/>
        <v>0</v>
      </c>
      <c r="E27" s="27">
        <f t="shared" si="2"/>
        <v>0</v>
      </c>
      <c r="F27" s="12"/>
      <c r="G27" s="12"/>
      <c r="H27" s="12"/>
    </row>
    <row r="28" spans="1:8" x14ac:dyDescent="0.25">
      <c r="A28" s="16">
        <v>13</v>
      </c>
      <c r="B28" s="25">
        <f t="shared" si="3"/>
        <v>0</v>
      </c>
      <c r="C28" s="19">
        <f t="shared" si="0"/>
        <v>0</v>
      </c>
      <c r="D28" s="26">
        <f t="shared" si="1"/>
        <v>0</v>
      </c>
      <c r="E28" s="27">
        <f t="shared" si="2"/>
        <v>0</v>
      </c>
      <c r="F28" s="12"/>
      <c r="G28" s="12"/>
      <c r="H28" s="12"/>
    </row>
    <row r="29" spans="1:8" x14ac:dyDescent="0.25">
      <c r="A29" s="16">
        <v>14</v>
      </c>
      <c r="B29" s="25">
        <f t="shared" si="3"/>
        <v>0</v>
      </c>
      <c r="C29" s="19">
        <f t="shared" si="0"/>
        <v>0</v>
      </c>
      <c r="D29" s="26">
        <f t="shared" si="1"/>
        <v>0</v>
      </c>
      <c r="E29" s="27">
        <f t="shared" si="2"/>
        <v>0</v>
      </c>
      <c r="F29" s="26"/>
      <c r="G29" s="12"/>
      <c r="H29" s="12"/>
    </row>
    <row r="30" spans="1:8" x14ac:dyDescent="0.25">
      <c r="A30" s="16">
        <v>15</v>
      </c>
      <c r="B30" s="25">
        <f t="shared" si="3"/>
        <v>0</v>
      </c>
      <c r="C30" s="19">
        <f t="shared" si="0"/>
        <v>0</v>
      </c>
      <c r="D30" s="26">
        <f t="shared" si="1"/>
        <v>0</v>
      </c>
      <c r="E30" s="27">
        <f t="shared" si="2"/>
        <v>0</v>
      </c>
      <c r="F30" s="12"/>
      <c r="G30" s="12"/>
      <c r="H30" s="12"/>
    </row>
    <row r="31" spans="1:8" x14ac:dyDescent="0.25">
      <c r="A31" s="16">
        <v>16</v>
      </c>
      <c r="B31" s="25">
        <f t="shared" si="3"/>
        <v>0</v>
      </c>
      <c r="C31" s="19">
        <f t="shared" si="0"/>
        <v>0</v>
      </c>
      <c r="D31" s="26">
        <f t="shared" si="1"/>
        <v>0</v>
      </c>
      <c r="E31" s="27">
        <f t="shared" si="2"/>
        <v>0</v>
      </c>
      <c r="F31" s="12"/>
      <c r="G31" s="12"/>
      <c r="H31" s="12"/>
    </row>
    <row r="32" spans="1:8" x14ac:dyDescent="0.25">
      <c r="A32" s="16">
        <v>17</v>
      </c>
      <c r="B32" s="25">
        <f t="shared" si="3"/>
        <v>0</v>
      </c>
      <c r="C32" s="19">
        <f t="shared" si="0"/>
        <v>0</v>
      </c>
      <c r="D32" s="26">
        <f t="shared" si="1"/>
        <v>0</v>
      </c>
      <c r="E32" s="27">
        <f t="shared" si="2"/>
        <v>0</v>
      </c>
      <c r="F32" s="12"/>
      <c r="G32" s="12"/>
      <c r="H32" s="28"/>
    </row>
    <row r="33" spans="1:8" x14ac:dyDescent="0.25">
      <c r="A33" s="16">
        <v>18</v>
      </c>
      <c r="B33" s="25">
        <f t="shared" si="3"/>
        <v>0</v>
      </c>
      <c r="C33" s="19">
        <f t="shared" si="0"/>
        <v>0</v>
      </c>
      <c r="D33" s="26">
        <f t="shared" si="1"/>
        <v>0</v>
      </c>
      <c r="E33" s="27">
        <f t="shared" si="2"/>
        <v>0</v>
      </c>
      <c r="F33" s="12"/>
      <c r="G33" s="12"/>
      <c r="H33" s="12"/>
    </row>
    <row r="34" spans="1:8" x14ac:dyDescent="0.25">
      <c r="A34" s="16">
        <v>19</v>
      </c>
      <c r="B34" s="25">
        <f t="shared" si="3"/>
        <v>0</v>
      </c>
      <c r="C34" s="19">
        <f t="shared" si="0"/>
        <v>0</v>
      </c>
      <c r="D34" s="26">
        <f t="shared" si="1"/>
        <v>0</v>
      </c>
      <c r="E34" s="27">
        <f t="shared" si="2"/>
        <v>0</v>
      </c>
      <c r="F34" s="12"/>
      <c r="G34" s="12"/>
      <c r="H34" s="12"/>
    </row>
    <row r="35" spans="1:8" x14ac:dyDescent="0.25">
      <c r="A35" s="16">
        <v>20</v>
      </c>
      <c r="B35" s="25">
        <f t="shared" si="3"/>
        <v>0</v>
      </c>
      <c r="C35" s="19">
        <f t="shared" si="0"/>
        <v>0</v>
      </c>
      <c r="D35" s="26">
        <f t="shared" si="1"/>
        <v>0</v>
      </c>
      <c r="E35" s="27">
        <f t="shared" si="2"/>
        <v>0</v>
      </c>
      <c r="F35" s="12"/>
      <c r="G35" s="12"/>
      <c r="H35" s="12"/>
    </row>
    <row r="36" spans="1:8" x14ac:dyDescent="0.25">
      <c r="A36" s="16">
        <v>21</v>
      </c>
      <c r="B36" s="25">
        <f t="shared" si="3"/>
        <v>0</v>
      </c>
      <c r="C36" s="19">
        <f t="shared" si="0"/>
        <v>0</v>
      </c>
      <c r="D36" s="26">
        <f t="shared" si="1"/>
        <v>0</v>
      </c>
      <c r="E36" s="27">
        <f t="shared" si="2"/>
        <v>0</v>
      </c>
      <c r="F36" s="12"/>
      <c r="G36" s="12"/>
      <c r="H36" s="12"/>
    </row>
    <row r="37" spans="1:8" x14ac:dyDescent="0.25">
      <c r="A37" s="16">
        <v>22</v>
      </c>
      <c r="B37" s="25">
        <f t="shared" si="3"/>
        <v>0</v>
      </c>
      <c r="C37" s="19">
        <f t="shared" si="0"/>
        <v>0</v>
      </c>
      <c r="D37" s="26">
        <f t="shared" si="1"/>
        <v>0</v>
      </c>
      <c r="E37" s="27">
        <f t="shared" si="2"/>
        <v>0</v>
      </c>
      <c r="F37" s="12"/>
      <c r="G37" s="12"/>
      <c r="H37" s="12"/>
    </row>
    <row r="38" spans="1:8" x14ac:dyDescent="0.25">
      <c r="A38" s="16">
        <v>23</v>
      </c>
      <c r="B38" s="25">
        <f t="shared" si="3"/>
        <v>0</v>
      </c>
      <c r="C38" s="19">
        <f t="shared" si="0"/>
        <v>0</v>
      </c>
      <c r="D38" s="26">
        <f t="shared" si="1"/>
        <v>0</v>
      </c>
      <c r="E38" s="27">
        <f t="shared" si="2"/>
        <v>0</v>
      </c>
      <c r="F38" s="12"/>
      <c r="G38" s="12"/>
      <c r="H38" s="12"/>
    </row>
    <row r="39" spans="1:8" x14ac:dyDescent="0.25">
      <c r="A39" s="16">
        <v>24</v>
      </c>
      <c r="B39" s="25">
        <f t="shared" si="3"/>
        <v>0</v>
      </c>
      <c r="C39" s="19">
        <f t="shared" si="0"/>
        <v>0</v>
      </c>
      <c r="D39" s="26">
        <f t="shared" si="1"/>
        <v>0</v>
      </c>
      <c r="E39" s="27">
        <f t="shared" si="2"/>
        <v>0</v>
      </c>
      <c r="F39" s="12"/>
      <c r="G39" s="12"/>
      <c r="H39" s="12"/>
    </row>
    <row r="40" spans="1:8" x14ac:dyDescent="0.25">
      <c r="A40" s="16">
        <v>25</v>
      </c>
      <c r="B40" s="25">
        <f t="shared" si="3"/>
        <v>0</v>
      </c>
      <c r="C40" s="19">
        <f t="shared" si="0"/>
        <v>0</v>
      </c>
      <c r="D40" s="26">
        <f t="shared" si="1"/>
        <v>0</v>
      </c>
      <c r="E40" s="27">
        <f t="shared" si="2"/>
        <v>0</v>
      </c>
      <c r="F40" s="12"/>
      <c r="G40" s="12"/>
      <c r="H40" s="12"/>
    </row>
    <row r="41" spans="1:8" x14ac:dyDescent="0.25">
      <c r="A41" s="16">
        <v>26</v>
      </c>
      <c r="B41" s="25">
        <f t="shared" si="3"/>
        <v>0</v>
      </c>
      <c r="C41" s="19">
        <f t="shared" si="0"/>
        <v>0</v>
      </c>
      <c r="D41" s="26">
        <f t="shared" si="1"/>
        <v>0</v>
      </c>
      <c r="E41" s="27">
        <f t="shared" si="2"/>
        <v>0</v>
      </c>
      <c r="F41" s="12"/>
      <c r="G41" s="12"/>
      <c r="H41" s="12"/>
    </row>
    <row r="42" spans="1:8" x14ac:dyDescent="0.25">
      <c r="A42" s="16">
        <v>27</v>
      </c>
      <c r="B42" s="25">
        <f t="shared" si="3"/>
        <v>0</v>
      </c>
      <c r="C42" s="19">
        <f t="shared" si="0"/>
        <v>0</v>
      </c>
      <c r="D42" s="26">
        <f t="shared" si="1"/>
        <v>0</v>
      </c>
      <c r="E42" s="27">
        <f t="shared" si="2"/>
        <v>0</v>
      </c>
      <c r="F42" s="12"/>
      <c r="G42" s="12"/>
      <c r="H42" s="12"/>
    </row>
    <row r="43" spans="1:8" x14ac:dyDescent="0.25">
      <c r="A43" s="16">
        <v>28</v>
      </c>
      <c r="B43" s="25">
        <f t="shared" si="3"/>
        <v>0</v>
      </c>
      <c r="C43" s="19">
        <f t="shared" si="0"/>
        <v>0</v>
      </c>
      <c r="D43" s="26">
        <f t="shared" si="1"/>
        <v>0</v>
      </c>
      <c r="E43" s="27">
        <f t="shared" si="2"/>
        <v>0</v>
      </c>
      <c r="F43" s="12"/>
      <c r="G43" s="12"/>
      <c r="H43" s="12"/>
    </row>
    <row r="44" spans="1:8" x14ac:dyDescent="0.25">
      <c r="A44" s="16">
        <v>29</v>
      </c>
      <c r="B44" s="25">
        <f t="shared" si="3"/>
        <v>0</v>
      </c>
      <c r="C44" s="19">
        <f t="shared" si="0"/>
        <v>0</v>
      </c>
      <c r="D44" s="26">
        <f t="shared" si="1"/>
        <v>0</v>
      </c>
      <c r="E44" s="27">
        <f t="shared" si="2"/>
        <v>0</v>
      </c>
      <c r="F44" s="12"/>
      <c r="G44" s="12"/>
      <c r="H44" s="12"/>
    </row>
    <row r="45" spans="1:8" x14ac:dyDescent="0.25">
      <c r="A45" s="16">
        <v>30</v>
      </c>
      <c r="B45" s="25">
        <f t="shared" si="3"/>
        <v>0</v>
      </c>
      <c r="C45" s="19">
        <f t="shared" si="0"/>
        <v>0</v>
      </c>
      <c r="D45" s="26">
        <f t="shared" si="1"/>
        <v>0</v>
      </c>
      <c r="E45" s="27">
        <f t="shared" si="2"/>
        <v>0</v>
      </c>
      <c r="F45" s="12"/>
      <c r="G45" s="12"/>
      <c r="H45" s="12"/>
    </row>
    <row r="46" spans="1:8" x14ac:dyDescent="0.25">
      <c r="A46" s="15"/>
      <c r="B46" s="25">
        <f t="shared" si="3"/>
        <v>0</v>
      </c>
      <c r="C46" s="19"/>
      <c r="D46" s="26"/>
      <c r="E46" s="27"/>
      <c r="F46" s="12"/>
      <c r="G46" s="12"/>
      <c r="H46" s="12"/>
    </row>
    <row r="47" spans="1:8" x14ac:dyDescent="0.25">
      <c r="A47" s="15"/>
      <c r="B47" s="12"/>
      <c r="C47" s="12"/>
      <c r="D47" s="12"/>
      <c r="E47" s="12"/>
      <c r="F47" s="12"/>
      <c r="G47" s="12"/>
      <c r="H47" s="12"/>
    </row>
    <row r="48" spans="1:8" ht="15.6" x14ac:dyDescent="0.35">
      <c r="A48" s="20" t="s">
        <v>37</v>
      </c>
      <c r="B48" s="16" t="s">
        <v>42</v>
      </c>
      <c r="C48" s="12"/>
      <c r="D48" s="12"/>
      <c r="E48" s="12"/>
      <c r="F48" s="12"/>
      <c r="G48" s="12"/>
      <c r="H48" s="12"/>
    </row>
    <row r="49" spans="1:8" x14ac:dyDescent="0.25">
      <c r="A49" s="16">
        <v>1</v>
      </c>
      <c r="B49" s="29">
        <f t="shared" ref="B49:B79" si="4">B16*B$9*(B$4+B$5+B$6)</f>
        <v>2161.5300000000002</v>
      </c>
      <c r="C49" s="12"/>
      <c r="D49" s="12"/>
      <c r="E49" s="12"/>
      <c r="F49" s="12"/>
      <c r="G49" s="12"/>
      <c r="H49" s="12"/>
    </row>
    <row r="50" spans="1:8" x14ac:dyDescent="0.25">
      <c r="A50" s="16">
        <v>2</v>
      </c>
      <c r="B50" s="29">
        <f t="shared" si="4"/>
        <v>1924.5087373532542</v>
      </c>
      <c r="C50" s="12"/>
      <c r="D50" s="12"/>
      <c r="E50" s="12"/>
      <c r="F50" s="12"/>
      <c r="G50" s="12"/>
      <c r="H50" s="12"/>
    </row>
    <row r="51" spans="1:8" x14ac:dyDescent="0.25">
      <c r="A51" s="16">
        <v>3</v>
      </c>
      <c r="B51" s="29">
        <f t="shared" si="4"/>
        <v>1678.6939858623141</v>
      </c>
      <c r="C51" s="20"/>
      <c r="D51" s="12"/>
      <c r="E51" s="12"/>
      <c r="F51" s="12"/>
      <c r="G51" s="12"/>
      <c r="H51" s="12"/>
    </row>
    <row r="52" spans="1:8" x14ac:dyDescent="0.25">
      <c r="A52" s="16">
        <v>4</v>
      </c>
      <c r="B52" s="29">
        <f t="shared" si="4"/>
        <v>1423.7595070910602</v>
      </c>
      <c r="C52" s="12"/>
      <c r="D52" s="12"/>
      <c r="E52" s="12"/>
      <c r="F52" s="12"/>
      <c r="G52" s="12"/>
      <c r="H52" s="12"/>
    </row>
    <row r="53" spans="1:8" x14ac:dyDescent="0.25">
      <c r="A53" s="16">
        <v>5</v>
      </c>
      <c r="B53" s="29">
        <f t="shared" si="4"/>
        <v>1159.3669591573928</v>
      </c>
      <c r="C53" s="12"/>
      <c r="D53" s="12"/>
      <c r="E53" s="12"/>
      <c r="F53" s="12"/>
      <c r="G53" s="12"/>
      <c r="H53" s="12"/>
    </row>
    <row r="54" spans="1:8" x14ac:dyDescent="0.25">
      <c r="A54" s="16">
        <v>6</v>
      </c>
      <c r="B54" s="29">
        <f t="shared" si="4"/>
        <v>885.16544769538632</v>
      </c>
      <c r="C54" s="12"/>
      <c r="D54" s="12"/>
      <c r="E54" s="12"/>
      <c r="F54" s="12"/>
      <c r="G54" s="12"/>
      <c r="H54" s="12"/>
    </row>
    <row r="55" spans="1:8" x14ac:dyDescent="0.25">
      <c r="A55" s="16">
        <v>7</v>
      </c>
      <c r="B55" s="29">
        <f t="shared" si="4"/>
        <v>600.79106015813943</v>
      </c>
      <c r="C55" s="12"/>
      <c r="D55" s="12"/>
      <c r="E55" s="12"/>
      <c r="F55" s="12"/>
      <c r="G55" s="12"/>
      <c r="H55" s="12"/>
    </row>
    <row r="56" spans="1:8" x14ac:dyDescent="0.25">
      <c r="A56" s="16">
        <v>8</v>
      </c>
      <c r="B56" s="29">
        <f t="shared" si="4"/>
        <v>305.86638284326062</v>
      </c>
      <c r="C56" s="12"/>
      <c r="D56" s="12"/>
      <c r="E56" s="12"/>
      <c r="F56" s="12"/>
      <c r="G56" s="12"/>
      <c r="H56" s="12"/>
    </row>
    <row r="57" spans="1:8" x14ac:dyDescent="0.25">
      <c r="A57" s="16">
        <v>9</v>
      </c>
      <c r="B57" s="29">
        <f t="shared" si="4"/>
        <v>0</v>
      </c>
      <c r="C57" s="12"/>
      <c r="D57" s="12"/>
      <c r="E57" s="12"/>
      <c r="F57" s="12"/>
      <c r="G57" s="12"/>
      <c r="H57" s="12"/>
    </row>
    <row r="58" spans="1:8" x14ac:dyDescent="0.25">
      <c r="A58" s="16">
        <v>10</v>
      </c>
      <c r="B58" s="29">
        <f t="shared" si="4"/>
        <v>0</v>
      </c>
      <c r="C58" s="12"/>
      <c r="D58" s="12"/>
      <c r="E58" s="12"/>
      <c r="F58" s="12"/>
      <c r="G58" s="12"/>
      <c r="H58" s="12"/>
    </row>
    <row r="59" spans="1:8" x14ac:dyDescent="0.25">
      <c r="A59" s="16">
        <v>11</v>
      </c>
      <c r="B59" s="29">
        <f t="shared" si="4"/>
        <v>0</v>
      </c>
      <c r="C59" s="12"/>
      <c r="D59" s="12"/>
      <c r="E59" s="12"/>
      <c r="F59" s="12"/>
      <c r="G59" s="12"/>
      <c r="H59" s="12"/>
    </row>
    <row r="60" spans="1:8" x14ac:dyDescent="0.25">
      <c r="A60" s="16">
        <v>12</v>
      </c>
      <c r="B60" s="29">
        <f t="shared" si="4"/>
        <v>0</v>
      </c>
      <c r="C60" s="12"/>
      <c r="D60" s="12"/>
      <c r="E60" s="12"/>
      <c r="F60" s="12"/>
      <c r="G60" s="12"/>
      <c r="H60" s="12"/>
    </row>
    <row r="61" spans="1:8" x14ac:dyDescent="0.25">
      <c r="A61" s="16">
        <v>13</v>
      </c>
      <c r="B61" s="29">
        <f t="shared" si="4"/>
        <v>0</v>
      </c>
      <c r="C61" s="12"/>
      <c r="D61" s="12"/>
      <c r="E61" s="12"/>
      <c r="F61" s="12"/>
      <c r="G61" s="12"/>
      <c r="H61" s="12"/>
    </row>
    <row r="62" spans="1:8" x14ac:dyDescent="0.25">
      <c r="A62" s="16">
        <v>14</v>
      </c>
      <c r="B62" s="29">
        <f t="shared" si="4"/>
        <v>0</v>
      </c>
      <c r="C62" s="12"/>
      <c r="D62" s="12"/>
      <c r="E62" s="12"/>
      <c r="F62" s="12"/>
      <c r="G62" s="12"/>
      <c r="H62" s="12"/>
    </row>
    <row r="63" spans="1:8" x14ac:dyDescent="0.25">
      <c r="A63" s="16">
        <v>15</v>
      </c>
      <c r="B63" s="29">
        <f t="shared" si="4"/>
        <v>0</v>
      </c>
      <c r="C63" s="12"/>
      <c r="D63" s="12"/>
      <c r="E63" s="12"/>
      <c r="F63" s="12"/>
      <c r="G63" s="12"/>
      <c r="H63" s="12"/>
    </row>
    <row r="64" spans="1:8" x14ac:dyDescent="0.25">
      <c r="A64" s="16">
        <v>16</v>
      </c>
      <c r="B64" s="29">
        <f t="shared" si="4"/>
        <v>0</v>
      </c>
      <c r="C64" s="12"/>
      <c r="D64" s="12"/>
      <c r="E64" s="12"/>
      <c r="F64" s="12"/>
      <c r="G64" s="12"/>
      <c r="H64" s="12"/>
    </row>
    <row r="65" spans="1:8" x14ac:dyDescent="0.25">
      <c r="A65" s="16">
        <v>17</v>
      </c>
      <c r="B65" s="29">
        <f t="shared" si="4"/>
        <v>0</v>
      </c>
      <c r="C65" s="12"/>
      <c r="D65" s="12"/>
      <c r="E65" s="12"/>
      <c r="F65" s="12"/>
      <c r="G65" s="12"/>
      <c r="H65" s="12"/>
    </row>
    <row r="66" spans="1:8" x14ac:dyDescent="0.25">
      <c r="A66" s="16">
        <v>18</v>
      </c>
      <c r="B66" s="29">
        <f t="shared" si="4"/>
        <v>0</v>
      </c>
      <c r="C66" s="12"/>
      <c r="D66" s="12"/>
      <c r="E66" s="12"/>
      <c r="F66" s="12"/>
      <c r="G66" s="12"/>
      <c r="H66" s="12"/>
    </row>
    <row r="67" spans="1:8" x14ac:dyDescent="0.25">
      <c r="A67" s="16">
        <v>19</v>
      </c>
      <c r="B67" s="29">
        <f t="shared" si="4"/>
        <v>0</v>
      </c>
      <c r="C67" s="12"/>
      <c r="D67" s="12"/>
      <c r="E67" s="12"/>
      <c r="F67" s="12"/>
      <c r="G67" s="12"/>
      <c r="H67" s="12"/>
    </row>
    <row r="68" spans="1:8" x14ac:dyDescent="0.25">
      <c r="A68" s="16">
        <v>20</v>
      </c>
      <c r="B68" s="29">
        <f t="shared" si="4"/>
        <v>0</v>
      </c>
      <c r="C68" s="12"/>
      <c r="D68" s="12"/>
      <c r="E68" s="12"/>
      <c r="F68" s="12"/>
      <c r="G68" s="12"/>
      <c r="H68" s="12"/>
    </row>
    <row r="69" spans="1:8" x14ac:dyDescent="0.25">
      <c r="A69" s="16">
        <v>21</v>
      </c>
      <c r="B69" s="29">
        <f t="shared" si="4"/>
        <v>0</v>
      </c>
      <c r="C69" s="12"/>
      <c r="D69" s="12"/>
      <c r="E69" s="12"/>
      <c r="F69" s="12"/>
      <c r="G69" s="12"/>
      <c r="H69" s="12"/>
    </row>
    <row r="70" spans="1:8" x14ac:dyDescent="0.25">
      <c r="A70" s="16">
        <v>22</v>
      </c>
      <c r="B70" s="29">
        <f t="shared" si="4"/>
        <v>0</v>
      </c>
      <c r="C70" s="12"/>
      <c r="D70" s="12"/>
      <c r="E70" s="12"/>
      <c r="F70" s="12"/>
      <c r="G70" s="12"/>
      <c r="H70" s="12"/>
    </row>
    <row r="71" spans="1:8" x14ac:dyDescent="0.25">
      <c r="A71" s="16">
        <v>23</v>
      </c>
      <c r="B71" s="29">
        <f t="shared" si="4"/>
        <v>0</v>
      </c>
      <c r="C71" s="12"/>
      <c r="D71" s="12"/>
      <c r="E71" s="12"/>
      <c r="F71" s="12"/>
      <c r="G71" s="12"/>
      <c r="H71" s="12"/>
    </row>
    <row r="72" spans="1:8" x14ac:dyDescent="0.25">
      <c r="A72" s="16">
        <v>24</v>
      </c>
      <c r="B72" s="29">
        <f t="shared" si="4"/>
        <v>0</v>
      </c>
      <c r="C72" s="12"/>
      <c r="D72" s="12"/>
      <c r="E72" s="12"/>
      <c r="F72" s="12"/>
      <c r="G72" s="12"/>
      <c r="H72" s="12"/>
    </row>
    <row r="73" spans="1:8" x14ac:dyDescent="0.25">
      <c r="A73" s="16">
        <v>25</v>
      </c>
      <c r="B73" s="29">
        <f t="shared" si="4"/>
        <v>0</v>
      </c>
      <c r="C73" s="12"/>
      <c r="D73" s="12"/>
      <c r="E73" s="12"/>
      <c r="F73" s="12"/>
      <c r="G73" s="12"/>
      <c r="H73" s="12"/>
    </row>
    <row r="74" spans="1:8" x14ac:dyDescent="0.25">
      <c r="A74" s="16">
        <v>26</v>
      </c>
      <c r="B74" s="29">
        <f t="shared" si="4"/>
        <v>0</v>
      </c>
      <c r="C74" s="12"/>
      <c r="D74" s="12"/>
      <c r="E74" s="12"/>
      <c r="F74" s="12"/>
      <c r="G74" s="12"/>
      <c r="H74" s="12"/>
    </row>
    <row r="75" spans="1:8" x14ac:dyDescent="0.25">
      <c r="A75" s="16">
        <v>27</v>
      </c>
      <c r="B75" s="29">
        <f t="shared" si="4"/>
        <v>0</v>
      </c>
      <c r="C75" s="12"/>
      <c r="D75" s="12"/>
      <c r="E75" s="12"/>
      <c r="F75" s="12"/>
      <c r="G75" s="12"/>
      <c r="H75" s="12"/>
    </row>
    <row r="76" spans="1:8" x14ac:dyDescent="0.25">
      <c r="A76" s="16">
        <v>28</v>
      </c>
      <c r="B76" s="29">
        <f t="shared" si="4"/>
        <v>0</v>
      </c>
      <c r="C76" s="12"/>
      <c r="D76" s="12"/>
      <c r="E76" s="12"/>
      <c r="F76" s="12"/>
      <c r="G76" s="12"/>
      <c r="H76" s="12"/>
    </row>
    <row r="77" spans="1:8" x14ac:dyDescent="0.25">
      <c r="A77" s="16">
        <v>29</v>
      </c>
      <c r="B77" s="29">
        <f t="shared" si="4"/>
        <v>0</v>
      </c>
      <c r="C77" s="12"/>
      <c r="D77" s="12"/>
      <c r="E77" s="12"/>
      <c r="F77" s="12"/>
      <c r="G77" s="12"/>
      <c r="H77" s="12"/>
    </row>
    <row r="78" spans="1:8" x14ac:dyDescent="0.25">
      <c r="A78" s="16">
        <v>30</v>
      </c>
      <c r="B78" s="29">
        <f t="shared" si="4"/>
        <v>0</v>
      </c>
      <c r="C78" s="12"/>
      <c r="D78" s="12"/>
      <c r="E78" s="12"/>
      <c r="F78" s="12"/>
      <c r="G78" s="12"/>
      <c r="H78" s="12"/>
    </row>
    <row r="79" spans="1:8" x14ac:dyDescent="0.25">
      <c r="A79" s="15"/>
      <c r="B79" s="29">
        <f t="shared" si="4"/>
        <v>0</v>
      </c>
      <c r="C79" s="12"/>
      <c r="D79" s="12"/>
      <c r="E79" s="12"/>
      <c r="F79" s="12"/>
      <c r="G79" s="12"/>
      <c r="H79" s="12"/>
    </row>
    <row r="80" spans="1:8" x14ac:dyDescent="0.25">
      <c r="A80" s="15"/>
      <c r="B80" s="12"/>
      <c r="C80" s="12"/>
      <c r="D80" s="12"/>
      <c r="E80" s="12"/>
      <c r="F80" s="12"/>
      <c r="G80" s="12"/>
      <c r="H80" s="12"/>
    </row>
    <row r="81" spans="1:8" x14ac:dyDescent="0.25">
      <c r="A81" s="15"/>
      <c r="B81" s="12"/>
      <c r="C81" s="12"/>
      <c r="D81" s="12"/>
      <c r="E81" s="12"/>
      <c r="F81" s="12"/>
      <c r="G81" s="12"/>
      <c r="H81" s="12"/>
    </row>
    <row r="82" spans="1:8" ht="18.600000000000001" thickBot="1" x14ac:dyDescent="0.45">
      <c r="A82" s="30" t="s">
        <v>43</v>
      </c>
      <c r="B82" s="29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9314.0879198391922</v>
      </c>
      <c r="C82" s="12"/>
      <c r="D82" s="12"/>
      <c r="E82" s="12"/>
      <c r="F82" s="12"/>
      <c r="G82" s="12"/>
      <c r="H82" s="12"/>
    </row>
    <row r="83" spans="1:8" ht="13.8" thickBot="1" x14ac:dyDescent="0.3">
      <c r="A83" s="16" t="s">
        <v>44</v>
      </c>
      <c r="B83" s="31">
        <v>0</v>
      </c>
      <c r="C83" s="12"/>
      <c r="D83" s="12"/>
      <c r="E83" s="12"/>
      <c r="F83" s="12"/>
      <c r="G83" s="12"/>
      <c r="H83" s="12"/>
    </row>
    <row r="84" spans="1:8" x14ac:dyDescent="0.25">
      <c r="A84" s="15"/>
      <c r="B84" s="12"/>
      <c r="C84" s="12"/>
      <c r="D84" s="12"/>
      <c r="E84" s="12"/>
      <c r="F84" s="12"/>
      <c r="G84" s="12"/>
      <c r="H84" s="12"/>
    </row>
    <row r="85" spans="1:8" x14ac:dyDescent="0.25">
      <c r="A85" s="32" t="s">
        <v>45</v>
      </c>
      <c r="B85" s="33">
        <f>B82-B83</f>
        <v>9314.0879198391922</v>
      </c>
      <c r="C85" s="12"/>
      <c r="D85" s="12"/>
      <c r="E85" s="12"/>
      <c r="F85" s="12"/>
      <c r="G85" s="12"/>
      <c r="H85" s="12"/>
    </row>
  </sheetData>
  <sheetProtection algorithmName="SHA-512" hashValue="VvmcyzQpXr836MA29K5/3Z7E6XDZujmDUfbu+8aDED+t1on+sB0hv4oQkpLt9dT+s+VYSUU6ILmhhykAM9EcwQ==" saltValue="Nm6e2qB4tbDcP1l6DI952A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2" x14ac:dyDescent="0.25"/>
  <cols>
    <col min="1" max="1" width="10.5546875" bestFit="1" customWidth="1"/>
  </cols>
  <sheetData>
    <row r="1" spans="1:1" x14ac:dyDescent="0.25">
      <c r="A1" t="s">
        <v>13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FNC-ORD_prospetto riassuntivo</vt:lpstr>
      <vt:lpstr>FNC-ORD_contributo interessi</vt:lpstr>
      <vt:lpstr>FNC-ORD_ESL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Leopardi Livia</cp:lastModifiedBy>
  <dcterms:created xsi:type="dcterms:W3CDTF">2020-04-27T16:01:26Z</dcterms:created>
  <dcterms:modified xsi:type="dcterms:W3CDTF">2025-04-29T10:15:59Z</dcterms:modified>
</cp:coreProperties>
</file>